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Budget/Budget 2024_25/"/>
    </mc:Choice>
  </mc:AlternateContent>
  <xr:revisionPtr revIDLastSave="15" documentId="8_{E4E7C9F2-EB35-47C7-930D-E294AD693E56}" xr6:coauthVersionLast="47" xr6:coauthVersionMax="47" xr10:uidLastSave="{15540325-C0DD-4679-845B-3A74F141EE46}"/>
  <bookViews>
    <workbookView xWindow="-28920" yWindow="-15" windowWidth="29040" windowHeight="15720" firstSheet="2" activeTab="3" xr2:uid="{9A42A1BA-572E-41EA-97CE-D57019B5C404}"/>
  </bookViews>
  <sheets>
    <sheet name="Cover Page" sheetId="16" r:id="rId1"/>
    <sheet name="Summary" sheetId="10" r:id="rId2"/>
    <sheet name="Personnel &amp; Finance" sheetId="2" r:id="rId3"/>
    <sheet name="Venues &amp; Markets" sheetId="3" r:id="rId4"/>
    <sheet name="Heritage Events" sheetId="4" r:id="rId5"/>
    <sheet name="Cemetery" sheetId="6" r:id="rId6"/>
    <sheet name="Amenities" sheetId="5" r:id="rId7"/>
    <sheet name="Allotments" sheetId="7" r:id="rId8"/>
    <sheet name="Rates Precept and Other" sheetId="9" r:id="rId9"/>
    <sheet name="Contributions to Reserves" sheetId="13" r:id="rId10"/>
  </sheets>
  <definedNames>
    <definedName name="_xlnm.Print_Area" localSheetId="7">Allotments!$A$1:$K$35</definedName>
    <definedName name="_xlnm.Print_Area" localSheetId="6">Amenities!$A$1:$K$61</definedName>
    <definedName name="_xlnm.Print_Area" localSheetId="5">Cemetery!$A$1:$K$35</definedName>
    <definedName name="_xlnm.Print_Area" localSheetId="9">'Contributions to Reserves'!$A$1:$K$43</definedName>
    <definedName name="_xlnm.Print_Area" localSheetId="0">'Cover Page'!$A$1:$K$36</definedName>
    <definedName name="_xlnm.Print_Area" localSheetId="4">'Heritage Events'!$A$1:$K$43</definedName>
    <definedName name="_xlnm.Print_Area" localSheetId="2">'Personnel &amp; Finance'!$A$1:$K$54</definedName>
    <definedName name="_xlnm.Print_Area" localSheetId="8">'Rates Precept and Other'!$A$1:$K$35</definedName>
    <definedName name="_xlnm.Print_Area" localSheetId="1">Summary!$A$1:$K$47</definedName>
    <definedName name="_xlnm.Print_Area" localSheetId="3">'Venues &amp; Markets'!$A$1:$K$46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3" l="1"/>
  <c r="J44" i="10"/>
  <c r="J15" i="10"/>
  <c r="J9" i="9"/>
  <c r="J31" i="2"/>
  <c r="J17" i="2"/>
  <c r="J11" i="2" l="1"/>
  <c r="J16" i="2"/>
  <c r="J51" i="2" s="1"/>
  <c r="I45" i="5"/>
  <c r="I42" i="5"/>
  <c r="H42" i="5"/>
  <c r="H28" i="10"/>
  <c r="H29" i="10"/>
  <c r="H14" i="10"/>
  <c r="H13" i="10"/>
  <c r="J25" i="13" l="1"/>
  <c r="H22" i="9"/>
  <c r="H16" i="10" s="1"/>
  <c r="H10" i="9"/>
  <c r="H15" i="10" s="1"/>
  <c r="J17" i="7"/>
  <c r="I17" i="7"/>
  <c r="H34" i="7"/>
  <c r="H34" i="6"/>
  <c r="H32" i="6"/>
  <c r="H17" i="6"/>
  <c r="H26" i="10"/>
  <c r="H11" i="10"/>
  <c r="H25" i="10"/>
  <c r="H10" i="10"/>
  <c r="H12" i="4"/>
  <c r="H40" i="4"/>
  <c r="H42" i="4" s="1"/>
  <c r="J29" i="4"/>
  <c r="J18" i="4"/>
  <c r="J40" i="4" s="1"/>
  <c r="H43" i="3"/>
  <c r="H9" i="3"/>
  <c r="H51" i="2" l="1"/>
  <c r="H24" i="10" s="1"/>
  <c r="I16" i="2"/>
  <c r="I51" i="2" s="1"/>
  <c r="H16" i="2"/>
  <c r="G16" i="2"/>
  <c r="F16" i="2"/>
  <c r="E16" i="2"/>
  <c r="D16" i="2"/>
  <c r="H41" i="13"/>
  <c r="H43" i="13" s="1"/>
  <c r="H32" i="9"/>
  <c r="H32" i="7"/>
  <c r="H12" i="7"/>
  <c r="H30" i="5"/>
  <c r="H17" i="5"/>
  <c r="H24" i="5"/>
  <c r="H20" i="3"/>
  <c r="H45" i="3" s="1"/>
  <c r="H11" i="2"/>
  <c r="H9" i="10" s="1"/>
  <c r="H19" i="10" s="1"/>
  <c r="H34" i="9" l="1"/>
  <c r="H30" i="10"/>
  <c r="H34" i="10" s="1"/>
  <c r="H36" i="10" s="1"/>
  <c r="H53" i="2"/>
  <c r="H58" i="5"/>
  <c r="H60" i="5" s="1"/>
  <c r="J42" i="5" l="1"/>
  <c r="J24" i="5"/>
  <c r="J45" i="5" l="1"/>
  <c r="I10" i="13" l="1"/>
  <c r="I41" i="13"/>
  <c r="I31" i="10" s="1"/>
  <c r="G17" i="7"/>
  <c r="G32" i="7" s="1"/>
  <c r="G29" i="10" s="1"/>
  <c r="G9" i="7"/>
  <c r="I32" i="9"/>
  <c r="I22" i="9"/>
  <c r="I16" i="10" s="1"/>
  <c r="I10" i="9"/>
  <c r="I15" i="10" s="1"/>
  <c r="I32" i="7"/>
  <c r="I12" i="7"/>
  <c r="I14" i="10" s="1"/>
  <c r="G30" i="5"/>
  <c r="G24" i="5"/>
  <c r="I44" i="10" l="1"/>
  <c r="J40" i="10"/>
  <c r="I34" i="9"/>
  <c r="I34" i="7"/>
  <c r="I30" i="10"/>
  <c r="I29" i="10"/>
  <c r="I43" i="13"/>
  <c r="I46" i="10" l="1"/>
  <c r="J46" i="10"/>
  <c r="I32" i="6"/>
  <c r="I28" i="10" s="1"/>
  <c r="I17" i="6"/>
  <c r="I13" i="10" s="1"/>
  <c r="I24" i="5"/>
  <c r="I17" i="5"/>
  <c r="I12" i="10" s="1"/>
  <c r="I34" i="6" l="1"/>
  <c r="I30" i="5"/>
  <c r="I58" i="5" s="1"/>
  <c r="I12" i="4"/>
  <c r="I40" i="4"/>
  <c r="I26" i="10" s="1"/>
  <c r="I60" i="5" l="1"/>
  <c r="I27" i="10"/>
  <c r="I11" i="10"/>
  <c r="I42" i="4"/>
  <c r="G33" i="3" l="1"/>
  <c r="G11" i="3"/>
  <c r="I43" i="3"/>
  <c r="I20" i="3"/>
  <c r="I10" i="10" s="1"/>
  <c r="I45" i="3" l="1"/>
  <c r="I25" i="10"/>
  <c r="I15" i="2" l="1"/>
  <c r="I11" i="2"/>
  <c r="I9" i="10" s="1"/>
  <c r="I23" i="10"/>
  <c r="I53" i="2" l="1"/>
  <c r="I24" i="10"/>
  <c r="F11" i="3" l="1"/>
  <c r="E11" i="3"/>
  <c r="D11" i="3"/>
  <c r="G40" i="4"/>
  <c r="J32" i="9" l="1"/>
  <c r="J10" i="9"/>
  <c r="J22" i="9"/>
  <c r="G41" i="13"/>
  <c r="G31" i="10" s="1"/>
  <c r="G43" i="13" l="1"/>
  <c r="J34" i="9"/>
  <c r="G12" i="4"/>
  <c r="G42" i="4" s="1"/>
  <c r="J30" i="10" l="1"/>
  <c r="J16" i="10"/>
  <c r="G26" i="10"/>
  <c r="G11" i="10"/>
  <c r="F17" i="7"/>
  <c r="F9" i="7"/>
  <c r="G12" i="7" l="1"/>
  <c r="G14" i="10" s="1"/>
  <c r="J43" i="3"/>
  <c r="J25" i="10" s="1"/>
  <c r="J20" i="3"/>
  <c r="J10" i="10" s="1"/>
  <c r="G43" i="3"/>
  <c r="G25" i="10" s="1"/>
  <c r="G34" i="7" l="1"/>
  <c r="J45" i="3"/>
  <c r="G32" i="6"/>
  <c r="G17" i="6"/>
  <c r="G13" i="10" s="1"/>
  <c r="G11" i="2"/>
  <c r="G9" i="10" s="1"/>
  <c r="G34" i="6" l="1"/>
  <c r="G28" i="10"/>
  <c r="F37" i="2"/>
  <c r="G51" i="2" l="1"/>
  <c r="G24" i="10" s="1"/>
  <c r="G15" i="10"/>
  <c r="I40" i="10" l="1"/>
  <c r="G53" i="2"/>
  <c r="F41" i="13" l="1"/>
  <c r="G10" i="9" l="1"/>
  <c r="F10" i="9"/>
  <c r="E10" i="9"/>
  <c r="D10" i="9"/>
  <c r="E41" i="13"/>
  <c r="E31" i="10" s="1"/>
  <c r="D41" i="13"/>
  <c r="D31" i="10" s="1"/>
  <c r="F10" i="13"/>
  <c r="E10" i="13"/>
  <c r="D10" i="13"/>
  <c r="C13" i="13"/>
  <c r="B13" i="13"/>
  <c r="F32" i="9"/>
  <c r="F30" i="10" s="1"/>
  <c r="F43" i="13" l="1"/>
  <c r="E43" i="13"/>
  <c r="D43" i="13"/>
  <c r="J32" i="7" l="1"/>
  <c r="J29" i="10" l="1"/>
  <c r="D29" i="6"/>
  <c r="D24" i="6"/>
  <c r="D22" i="6"/>
  <c r="D15" i="6"/>
  <c r="D13" i="6"/>
  <c r="D11" i="6"/>
  <c r="D10" i="6"/>
  <c r="C60" i="5" l="1"/>
  <c r="F58" i="5"/>
  <c r="E58" i="5"/>
  <c r="D55" i="5"/>
  <c r="D54" i="5"/>
  <c r="D53" i="5"/>
  <c r="D52" i="5"/>
  <c r="D51" i="5"/>
  <c r="D45" i="5"/>
  <c r="G42" i="5"/>
  <c r="D42" i="5"/>
  <c r="D41" i="5"/>
  <c r="D30" i="5"/>
  <c r="D29" i="5"/>
  <c r="D28" i="5"/>
  <c r="J30" i="5" l="1"/>
  <c r="D58" i="5"/>
  <c r="G58" i="5"/>
  <c r="G27" i="10" s="1"/>
  <c r="E27" i="10"/>
  <c r="F27" i="10"/>
  <c r="D27" i="10" l="1"/>
  <c r="F15" i="10"/>
  <c r="H40" i="10" s="1"/>
  <c r="G40" i="10" l="1"/>
  <c r="E15" i="10"/>
  <c r="F51" i="2"/>
  <c r="F40" i="10" l="1"/>
  <c r="G22" i="9"/>
  <c r="G16" i="10" s="1"/>
  <c r="E11" i="2" l="1"/>
  <c r="E9" i="10" l="1"/>
  <c r="F22" i="9"/>
  <c r="F11" i="2"/>
  <c r="F9" i="10" l="1"/>
  <c r="E51" i="2"/>
  <c r="D15" i="10"/>
  <c r="E40" i="10" s="1"/>
  <c r="E22" i="9"/>
  <c r="E16" i="10" s="1"/>
  <c r="B24" i="9"/>
  <c r="D9" i="2"/>
  <c r="E32" i="9"/>
  <c r="E24" i="10" l="1"/>
  <c r="J9" i="10"/>
  <c r="J17" i="5" l="1"/>
  <c r="J12" i="10" s="1"/>
  <c r="G17" i="5"/>
  <c r="G12" i="10" s="1"/>
  <c r="F17" i="5"/>
  <c r="J24" i="10" l="1"/>
  <c r="F60" i="5"/>
  <c r="F12" i="10"/>
  <c r="G60" i="5"/>
  <c r="J12" i="4" l="1"/>
  <c r="F12" i="4"/>
  <c r="E12" i="4"/>
  <c r="D9" i="4"/>
  <c r="D12" i="4" s="1"/>
  <c r="J11" i="10" l="1"/>
  <c r="F11" i="10"/>
  <c r="E11" i="10"/>
  <c r="D14" i="9"/>
  <c r="D9" i="5"/>
  <c r="D11" i="5"/>
  <c r="D10" i="2"/>
  <c r="D11" i="2" s="1"/>
  <c r="D9" i="3"/>
  <c r="D13" i="9"/>
  <c r="D33" i="3"/>
  <c r="D35" i="3"/>
  <c r="D35" i="2"/>
  <c r="D43" i="2"/>
  <c r="D46" i="2"/>
  <c r="D28" i="2"/>
  <c r="D40" i="2"/>
  <c r="D44" i="2"/>
  <c r="D27" i="2"/>
  <c r="D26" i="2"/>
  <c r="D30" i="2"/>
  <c r="D29" i="2"/>
  <c r="D33" i="2"/>
  <c r="D41" i="3"/>
  <c r="D17" i="7"/>
  <c r="D38" i="2"/>
  <c r="D31" i="3"/>
  <c r="D39" i="2"/>
  <c r="D32" i="2"/>
  <c r="D31" i="2"/>
  <c r="D28" i="3"/>
  <c r="D25" i="3"/>
  <c r="D24" i="4"/>
  <c r="D18" i="4"/>
  <c r="D28" i="4"/>
  <c r="D17" i="4"/>
  <c r="D36" i="2"/>
  <c r="D17" i="5" l="1"/>
  <c r="D12" i="10" s="1"/>
  <c r="D51" i="2"/>
  <c r="D22" i="9"/>
  <c r="E43" i="3"/>
  <c r="E20" i="3"/>
  <c r="E17" i="5"/>
  <c r="J23" i="10"/>
  <c r="F23" i="10"/>
  <c r="C22" i="10"/>
  <c r="B21" i="10"/>
  <c r="G32" i="9"/>
  <c r="D32" i="9"/>
  <c r="D30" i="10" s="1"/>
  <c r="C25" i="9"/>
  <c r="B25" i="9"/>
  <c r="C34" i="7"/>
  <c r="F32" i="7"/>
  <c r="E32" i="7"/>
  <c r="D32" i="7"/>
  <c r="B14" i="7"/>
  <c r="E12" i="7"/>
  <c r="D12" i="7"/>
  <c r="F12" i="7"/>
  <c r="J16" i="7"/>
  <c r="F16" i="7"/>
  <c r="E16" i="7"/>
  <c r="D16" i="7"/>
  <c r="F15" i="7"/>
  <c r="E15" i="7"/>
  <c r="D15" i="7"/>
  <c r="C15" i="7"/>
  <c r="B15" i="7"/>
  <c r="F14" i="7"/>
  <c r="E14" i="7"/>
  <c r="D14" i="7"/>
  <c r="C34" i="6"/>
  <c r="E32" i="6"/>
  <c r="D32" i="6"/>
  <c r="B19" i="6"/>
  <c r="E17" i="6"/>
  <c r="D17" i="6"/>
  <c r="F17" i="6"/>
  <c r="J21" i="6"/>
  <c r="F21" i="6"/>
  <c r="E21" i="6"/>
  <c r="D21" i="6"/>
  <c r="F20" i="6"/>
  <c r="E20" i="6"/>
  <c r="D20" i="6"/>
  <c r="C20" i="6"/>
  <c r="B20" i="6"/>
  <c r="F19" i="6"/>
  <c r="E19" i="6"/>
  <c r="D19" i="6"/>
  <c r="B19" i="5"/>
  <c r="J21" i="5"/>
  <c r="G21" i="5"/>
  <c r="F21" i="5"/>
  <c r="E21" i="5"/>
  <c r="D21" i="5"/>
  <c r="J20" i="5"/>
  <c r="G20" i="5"/>
  <c r="F20" i="5"/>
  <c r="E20" i="5"/>
  <c r="D20" i="5"/>
  <c r="C20" i="5"/>
  <c r="B20" i="5"/>
  <c r="J19" i="5"/>
  <c r="G19" i="5"/>
  <c r="F19" i="5"/>
  <c r="E19" i="5"/>
  <c r="D19" i="5"/>
  <c r="F40" i="4"/>
  <c r="E40" i="4"/>
  <c r="D40" i="4"/>
  <c r="D16" i="4"/>
  <c r="B14" i="4"/>
  <c r="D11" i="10"/>
  <c r="F16" i="4"/>
  <c r="E16" i="4"/>
  <c r="C15" i="4"/>
  <c r="B15" i="4"/>
  <c r="C45" i="3"/>
  <c r="F43" i="3"/>
  <c r="F25" i="10" s="1"/>
  <c r="D43" i="3"/>
  <c r="B22" i="3"/>
  <c r="G20" i="3"/>
  <c r="G10" i="10" s="1"/>
  <c r="G19" i="10" s="1"/>
  <c r="F20" i="3"/>
  <c r="D20" i="3"/>
  <c r="G24" i="3"/>
  <c r="F24" i="3"/>
  <c r="E24" i="3"/>
  <c r="D24" i="3"/>
  <c r="C23" i="3"/>
  <c r="B23" i="3"/>
  <c r="G30" i="10" l="1"/>
  <c r="G34" i="10" s="1"/>
  <c r="G36" i="10" s="1"/>
  <c r="J26" i="10"/>
  <c r="D60" i="5"/>
  <c r="D29" i="10"/>
  <c r="E29" i="10"/>
  <c r="D14" i="10"/>
  <c r="E14" i="10"/>
  <c r="F13" i="10"/>
  <c r="D13" i="10"/>
  <c r="E13" i="10"/>
  <c r="D28" i="10"/>
  <c r="E28" i="10"/>
  <c r="E60" i="5"/>
  <c r="E12" i="10"/>
  <c r="D26" i="10"/>
  <c r="E42" i="4"/>
  <c r="E26" i="10"/>
  <c r="F26" i="10"/>
  <c r="D25" i="10"/>
  <c r="D10" i="10"/>
  <c r="E10" i="10"/>
  <c r="F10" i="10"/>
  <c r="E25" i="10"/>
  <c r="E34" i="7"/>
  <c r="F42" i="4"/>
  <c r="J42" i="4"/>
  <c r="E34" i="9"/>
  <c r="G45" i="3"/>
  <c r="G34" i="9"/>
  <c r="J12" i="7"/>
  <c r="J14" i="10" s="1"/>
  <c r="D34" i="9"/>
  <c r="D16" i="10"/>
  <c r="D34" i="7"/>
  <c r="D45" i="3"/>
  <c r="E34" i="6"/>
  <c r="E45" i="3"/>
  <c r="F34" i="7"/>
  <c r="D34" i="6"/>
  <c r="F32" i="6"/>
  <c r="J32" i="6"/>
  <c r="D42" i="4"/>
  <c r="F45" i="3"/>
  <c r="J28" i="10" l="1"/>
  <c r="E34" i="10"/>
  <c r="F28" i="10"/>
  <c r="F34" i="10" s="1"/>
  <c r="E19" i="10"/>
  <c r="F34" i="9"/>
  <c r="J34" i="7"/>
  <c r="F34" i="6"/>
  <c r="C53" i="2"/>
  <c r="D24" i="10"/>
  <c r="D34" i="10" s="1"/>
  <c r="J15" i="2"/>
  <c r="F15" i="2"/>
  <c r="E15" i="2"/>
  <c r="C14" i="2"/>
  <c r="B14" i="2"/>
  <c r="B13" i="2"/>
  <c r="F19" i="10"/>
  <c r="D9" i="10"/>
  <c r="D19" i="10" s="1"/>
  <c r="E36" i="10" l="1"/>
  <c r="F36" i="10"/>
  <c r="D36" i="10"/>
  <c r="D53" i="2"/>
  <c r="E53" i="2"/>
  <c r="F53" i="2"/>
  <c r="J53" i="2"/>
  <c r="J17" i="6" l="1"/>
  <c r="I19" i="10" l="1"/>
  <c r="J13" i="10"/>
  <c r="J19" i="10" s="1"/>
  <c r="J34" i="6"/>
  <c r="J58" i="5" l="1"/>
  <c r="I34" i="10" l="1"/>
  <c r="I36" i="10" s="1"/>
  <c r="I38" i="10" s="1"/>
  <c r="J27" i="10"/>
  <c r="J60" i="5"/>
  <c r="J41" i="13" l="1"/>
  <c r="J43" i="13" s="1"/>
  <c r="J31" i="10" l="1"/>
  <c r="J34" i="10" s="1"/>
  <c r="J36" i="10" s="1"/>
  <c r="J38" i="10" s="1"/>
</calcChain>
</file>

<file path=xl/sharedStrings.xml><?xml version="1.0" encoding="utf-8"?>
<sst xmlns="http://schemas.openxmlformats.org/spreadsheetml/2006/main" count="657" uniqueCount="257">
  <si>
    <t>Election costs</t>
  </si>
  <si>
    <t>THETFORD TOWN COUNCIL</t>
  </si>
  <si>
    <t>INCOME</t>
  </si>
  <si>
    <t>2018-19</t>
  </si>
  <si>
    <t>2019-20</t>
  </si>
  <si>
    <t>2020-21</t>
  </si>
  <si>
    <t>2021-22</t>
  </si>
  <si>
    <t>2022-23</t>
  </si>
  <si>
    <t>N/C</t>
  </si>
  <si>
    <t>NAME</t>
  </si>
  <si>
    <t>ACTUAL</t>
  </si>
  <si>
    <t>BUDGET</t>
  </si>
  <si>
    <t>£</t>
  </si>
  <si>
    <t>Recharges (Labour)</t>
  </si>
  <si>
    <t xml:space="preserve">TOTAL </t>
  </si>
  <si>
    <t>EXPENDITURE</t>
  </si>
  <si>
    <t>Salaries</t>
  </si>
  <si>
    <t>Pension Strain Costs</t>
  </si>
  <si>
    <t>Training</t>
  </si>
  <si>
    <t>Recuitment</t>
  </si>
  <si>
    <t>Health &amp; Safety (Trg&amp;Con)</t>
  </si>
  <si>
    <t>Kings House Facilites</t>
  </si>
  <si>
    <t>Rates</t>
  </si>
  <si>
    <t>Welfare</t>
  </si>
  <si>
    <t>Electricity</t>
  </si>
  <si>
    <t>Gas</t>
  </si>
  <si>
    <t>Oil</t>
  </si>
  <si>
    <t>Waste Disposal Costs</t>
  </si>
  <si>
    <t>Admin Costs</t>
  </si>
  <si>
    <t>Travel Expenses</t>
  </si>
  <si>
    <t>Agents Fees</t>
  </si>
  <si>
    <t>Equipment Support &amp; Maint</t>
  </si>
  <si>
    <t>Cleaning Materials</t>
  </si>
  <si>
    <t>Audit fees</t>
  </si>
  <si>
    <t>Legal &amp; professional</t>
  </si>
  <si>
    <t>Insurances</t>
  </si>
  <si>
    <t>Bank Charges</t>
  </si>
  <si>
    <t>NET</t>
  </si>
  <si>
    <t>Bar Takings</t>
  </si>
  <si>
    <t>Grants Received</t>
  </si>
  <si>
    <t>Events Income</t>
  </si>
  <si>
    <t>Fees/Donations Receved</t>
  </si>
  <si>
    <t>Advertising</t>
  </si>
  <si>
    <t>Sponsorship</t>
  </si>
  <si>
    <t>Bar Purchase</t>
  </si>
  <si>
    <t>Catering Purchases</t>
  </si>
  <si>
    <t>Events expenses</t>
  </si>
  <si>
    <t>Newsletters and publications</t>
  </si>
  <si>
    <t>Printing and advertising</t>
  </si>
  <si>
    <t>Mayors Allowance</t>
  </si>
  <si>
    <t>Civic events</t>
  </si>
  <si>
    <t>Civic regalia</t>
  </si>
  <si>
    <t xml:space="preserve">Street furniture </t>
  </si>
  <si>
    <t>Playparks</t>
  </si>
  <si>
    <t>Open Spaces</t>
  </si>
  <si>
    <t>Open Spaces Maintenance</t>
  </si>
  <si>
    <t>Small Grants</t>
  </si>
  <si>
    <t>Trees</t>
  </si>
  <si>
    <t>Property Maintenance</t>
  </si>
  <si>
    <t>Toilets expenditure</t>
  </si>
  <si>
    <t>Vehicle Leasing</t>
  </si>
  <si>
    <t>Works team tools</t>
  </si>
  <si>
    <t>CEMETERY</t>
  </si>
  <si>
    <t>Cem tool and equip</t>
  </si>
  <si>
    <t>Cemetery maintenance</t>
  </si>
  <si>
    <t>Ground water monitoring</t>
  </si>
  <si>
    <t>Grass cutting</t>
  </si>
  <si>
    <t>ALLOTMENTS</t>
  </si>
  <si>
    <t>Allotment Fees</t>
  </si>
  <si>
    <t>Precept</t>
  </si>
  <si>
    <t>Sundry Income</t>
  </si>
  <si>
    <t>Bank Interest received</t>
  </si>
  <si>
    <t>Investment income</t>
  </si>
  <si>
    <t>Sale of fixed Assets</t>
  </si>
  <si>
    <t>OTHER</t>
  </si>
  <si>
    <t>Property rent received</t>
  </si>
  <si>
    <t>Mayoral income</t>
  </si>
  <si>
    <t>Donations Christmas</t>
  </si>
  <si>
    <t>Hire Income Open Spaces</t>
  </si>
  <si>
    <t>Internments</t>
  </si>
  <si>
    <t>Exclusive Right of Burial</t>
  </si>
  <si>
    <t>Memorials</t>
  </si>
  <si>
    <t>Hire of Chapel</t>
  </si>
  <si>
    <t>Cemetery</t>
  </si>
  <si>
    <t>Allotments</t>
  </si>
  <si>
    <t>Other</t>
  </si>
  <si>
    <t>Grants received</t>
  </si>
  <si>
    <t>Grave digging</t>
  </si>
  <si>
    <t>Works Team Fuel</t>
  </si>
  <si>
    <t>Works Team &amp; Maint</t>
  </si>
  <si>
    <t>Bad debts written off</t>
  </si>
  <si>
    <t>Cemetery extension</t>
  </si>
  <si>
    <t>Hanging baskets</t>
  </si>
  <si>
    <t>Council tax grant</t>
  </si>
  <si>
    <t>All Departments</t>
  </si>
  <si>
    <t>Civic Income</t>
  </si>
  <si>
    <t>Priory</t>
  </si>
  <si>
    <t>Guildhall complex</t>
  </si>
  <si>
    <t>Cemetery building repairs</t>
  </si>
  <si>
    <t>Property repairs</t>
  </si>
  <si>
    <t>Office equipment</t>
  </si>
  <si>
    <t>King House office repairs</t>
  </si>
  <si>
    <t>Civic Regalia</t>
  </si>
  <si>
    <t>Int Civic Links</t>
  </si>
  <si>
    <t>Civic gifts</t>
  </si>
  <si>
    <t>Open space management</t>
  </si>
  <si>
    <t>Sale of shares</t>
  </si>
  <si>
    <t>Rates precept</t>
  </si>
  <si>
    <t>RATES PRECEPT</t>
  </si>
  <si>
    <t>Shambles</t>
  </si>
  <si>
    <t>Market place</t>
  </si>
  <si>
    <t>St Peters</t>
  </si>
  <si>
    <t>Floral Displays</t>
  </si>
  <si>
    <t>TOTAL (EXCLUDING PRECEPT)</t>
  </si>
  <si>
    <t>Rent paid</t>
  </si>
  <si>
    <t>Share management fees</t>
  </si>
  <si>
    <t xml:space="preserve">Property maintenance </t>
  </si>
  <si>
    <t>Box office income</t>
  </si>
  <si>
    <t>COVID 19</t>
  </si>
  <si>
    <t>Honourary awards</t>
  </si>
  <si>
    <t>Other projects exp</t>
  </si>
  <si>
    <t>Borders and Barrels</t>
  </si>
  <si>
    <t>Fencing</t>
  </si>
  <si>
    <t>Conservation</t>
  </si>
  <si>
    <t>Emergency maintenance</t>
  </si>
  <si>
    <t>Tree surveying</t>
  </si>
  <si>
    <t>Tree Cutting &amp; Maintenance</t>
  </si>
  <si>
    <t>Veg. Manage. Contract</t>
  </si>
  <si>
    <t>Higher Level Steward Works</t>
  </si>
  <si>
    <t>Chapel Maintenance</t>
  </si>
  <si>
    <t>Maintainance</t>
  </si>
  <si>
    <t>Security Assessment</t>
  </si>
  <si>
    <t>Boundary posts</t>
  </si>
  <si>
    <t>Annual pest control</t>
  </si>
  <si>
    <t>Isolation of water pipe taps</t>
  </si>
  <si>
    <t>Tap repairs</t>
  </si>
  <si>
    <t>Special plot clearing</t>
  </si>
  <si>
    <t>Contribution to Reserves</t>
  </si>
  <si>
    <t>New security locks</t>
  </si>
  <si>
    <t>Repairs to fencing</t>
  </si>
  <si>
    <t>Signage</t>
  </si>
  <si>
    <t>Publications &amp; comms</t>
  </si>
  <si>
    <t>CONTRIBUTIONS TO RESERVES</t>
  </si>
  <si>
    <t>NET (EXCLUDING PRECEPT)</t>
  </si>
  <si>
    <t>VAT Contingency</t>
  </si>
  <si>
    <t>General Asset Renewal</t>
  </si>
  <si>
    <t>Xmas Displays</t>
  </si>
  <si>
    <t>CONTRIBUTIONS EX GRANTS</t>
  </si>
  <si>
    <t>SUMMARY OPERATIONAL BUDGET</t>
  </si>
  <si>
    <t>TOTAL</t>
  </si>
  <si>
    <t>NET ALL DEPARTMENTS</t>
  </si>
  <si>
    <t>CONTROL TOTALS</t>
  </si>
  <si>
    <t>Town events</t>
  </si>
  <si>
    <t>Mayoral Events</t>
  </si>
  <si>
    <t>Unallocated cost saving</t>
  </si>
  <si>
    <t>Sale of fixed assets</t>
  </si>
  <si>
    <t>Transfer from Reserves</t>
  </si>
  <si>
    <t>Personnel Reserve Contrib</t>
  </si>
  <si>
    <t>Service Income</t>
  </si>
  <si>
    <t>Cemetery donations</t>
  </si>
  <si>
    <t>Spending of donations</t>
  </si>
  <si>
    <t>Specialist Markets</t>
  </si>
  <si>
    <t>Lease of Equipment</t>
  </si>
  <si>
    <t>Minor Furniture and Equipment</t>
  </si>
  <si>
    <t>Website costs</t>
  </si>
  <si>
    <t>Mkt Maintenance &amp; Repairs</t>
  </si>
  <si>
    <t xml:space="preserve">Judging fees </t>
  </si>
  <si>
    <t>Legal fees</t>
  </si>
  <si>
    <t>Forfeited Deposits</t>
  </si>
  <si>
    <t>Amenities</t>
  </si>
  <si>
    <t>Sundry Expenses</t>
  </si>
  <si>
    <t>Recovery of deficit</t>
  </si>
  <si>
    <t>Additional contributions</t>
  </si>
  <si>
    <t>Carnegie Complex Hire</t>
  </si>
  <si>
    <t>Guildhall Complex Catering</t>
  </si>
  <si>
    <t>NET HERITAGE &amp; TOWN EVENTS</t>
  </si>
  <si>
    <t>AMENITIES</t>
  </si>
  <si>
    <t>Capital Project Grants</t>
  </si>
  <si>
    <t>Reserve Transfers &amp;  Grants</t>
  </si>
  <si>
    <t>Toilets</t>
  </si>
  <si>
    <t>SUMMARY REVISED OPERATIONAL BUDGET</t>
  </si>
  <si>
    <t>REVISED BUDGET</t>
  </si>
  <si>
    <t>Green Energy Savings</t>
  </si>
  <si>
    <t>Water and Sewerage</t>
  </si>
  <si>
    <t>Donations Thetford in Bloom</t>
  </si>
  <si>
    <t>Street furniture third parties</t>
  </si>
  <si>
    <t>Add. Contribution to Reserves</t>
  </si>
  <si>
    <t>Infrastructure rental</t>
  </si>
  <si>
    <t>St Peters Church</t>
  </si>
  <si>
    <t>King St Square</t>
  </si>
  <si>
    <t>Bus Station</t>
  </si>
  <si>
    <t>Market Fees</t>
  </si>
  <si>
    <t>Catering Consumables</t>
  </si>
  <si>
    <t>Building Maintenance</t>
  </si>
  <si>
    <t>Bar Consumables</t>
  </si>
  <si>
    <t>Entertainment Licencing</t>
  </si>
  <si>
    <t>Marketing and Communications</t>
  </si>
  <si>
    <t>Box Office Website &amp; Digital Media</t>
  </si>
  <si>
    <t>FOR THE YEAR ENDING 31 MARCH 2024</t>
  </si>
  <si>
    <t>2023-24</t>
  </si>
  <si>
    <t>PROPOSED BUDGET</t>
  </si>
  <si>
    <t>Hanging baskets contract</t>
  </si>
  <si>
    <t>River /Fish pass maint</t>
  </si>
  <si>
    <t>Other Veg. Manage</t>
  </si>
  <si>
    <t>Graziers fee</t>
  </si>
  <si>
    <t>Play Park renewal</t>
  </si>
  <si>
    <t>Anglia in Bloom</t>
  </si>
  <si>
    <t>Precept value</t>
  </si>
  <si>
    <t>OPERATIONAL BUDGET</t>
  </si>
  <si>
    <t>Increase in precept</t>
  </si>
  <si>
    <t>Precept (Band D property)</t>
  </si>
  <si>
    <t>Increase in precept income</t>
  </si>
  <si>
    <t>Proportionate reduction</t>
  </si>
  <si>
    <t>31 MARCH 2025</t>
  </si>
  <si>
    <t>FOR THE YEAR ENDING 31 MARCH 2025</t>
  </si>
  <si>
    <t>2024-25</t>
  </si>
  <si>
    <t>Staff salaries</t>
  </si>
  <si>
    <t>Salaries additional staff</t>
  </si>
  <si>
    <t>Salaries - sessional staff</t>
  </si>
  <si>
    <t>Salaries - annual increase</t>
  </si>
  <si>
    <t>Personnel &amp; Finance</t>
  </si>
  <si>
    <t>Room Hire Refreshments</t>
  </si>
  <si>
    <t>Equipment Repairs and Maint</t>
  </si>
  <si>
    <t>VENUES AND MARKETS</t>
  </si>
  <si>
    <t>Mayor Making</t>
  </si>
  <si>
    <t>Mayor's Civic Reception</t>
  </si>
  <si>
    <t>Mayor's Civic Church Ser</t>
  </si>
  <si>
    <t>Mayor's Carol Concert</t>
  </si>
  <si>
    <t>Mayor's Xmas Lunch</t>
  </si>
  <si>
    <t>Battle of Britain</t>
  </si>
  <si>
    <t>Remembrance Sunday</t>
  </si>
  <si>
    <t>National events</t>
  </si>
  <si>
    <t>Whitsun</t>
  </si>
  <si>
    <t>Market Place Summer</t>
  </si>
  <si>
    <t>Creative Carnival</t>
  </si>
  <si>
    <t>Heritage Festival</t>
  </si>
  <si>
    <t>October/Halloween</t>
  </si>
  <si>
    <t>Xmas lights switch on</t>
  </si>
  <si>
    <t>Xmas lights installation</t>
  </si>
  <si>
    <t>HERITAGE &amp; EVENTS</t>
  </si>
  <si>
    <t>Queen's Jubilee</t>
  </si>
  <si>
    <t>Transfer to Reserve</t>
  </si>
  <si>
    <t>Venues and Markets</t>
  </si>
  <si>
    <t>Finance and Personnel</t>
  </si>
  <si>
    <t>Heritage and Events</t>
  </si>
  <si>
    <t>Memorial benches</t>
  </si>
  <si>
    <t>Maintenance</t>
  </si>
  <si>
    <t>Capital Projects</t>
  </si>
  <si>
    <t>Other costs</t>
  </si>
  <si>
    <t>Sinage</t>
  </si>
  <si>
    <t>Salaries - reallocation</t>
  </si>
  <si>
    <t>Community Support</t>
  </si>
  <si>
    <t>TTC Event Sponsorship</t>
  </si>
  <si>
    <t xml:space="preserve">Markets Expenses  </t>
  </si>
  <si>
    <t xml:space="preserve">Cemetery Reserve </t>
  </si>
  <si>
    <t>Partnership Events</t>
  </si>
  <si>
    <t>PROPOSED BUDGET FOR THE FINANCIAL YEAR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</si>
</sst>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indexed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5" fillId="0" borderId="5" xfId="0" applyFont="1" applyBorder="1"/>
    <xf numFmtId="0" fontId="6" fillId="0" borderId="0" xfId="0" applyFont="1"/>
    <xf numFmtId="0" fontId="2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3" fontId="6" fillId="0" borderId="0" xfId="0" applyNumberFormat="1" applyFont="1"/>
    <xf numFmtId="3" fontId="6" fillId="3" borderId="15" xfId="0" applyNumberFormat="1" applyFont="1" applyFill="1" applyBorder="1"/>
    <xf numFmtId="0" fontId="6" fillId="0" borderId="5" xfId="0" applyFont="1" applyBorder="1" applyAlignment="1">
      <alignment horizontal="center"/>
    </xf>
    <xf numFmtId="3" fontId="5" fillId="0" borderId="10" xfId="0" applyNumberFormat="1" applyFont="1" applyBorder="1" applyAlignment="1">
      <alignment horizontal="left"/>
    </xf>
    <xf numFmtId="3" fontId="5" fillId="0" borderId="11" xfId="0" applyNumberFormat="1" applyFont="1" applyBorder="1"/>
    <xf numFmtId="3" fontId="5" fillId="0" borderId="2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3" fontId="5" fillId="3" borderId="13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5" xfId="0" applyNumberFormat="1" applyFont="1" applyBorder="1" applyAlignment="1">
      <alignment horizontal="right"/>
    </xf>
    <xf numFmtId="3" fontId="5" fillId="0" borderId="0" xfId="0" applyNumberFormat="1" applyFont="1"/>
    <xf numFmtId="3" fontId="0" fillId="3" borderId="15" xfId="0" applyNumberFormat="1" applyFill="1" applyBorder="1"/>
    <xf numFmtId="3" fontId="8" fillId="0" borderId="11" xfId="0" applyNumberFormat="1" applyFont="1" applyBorder="1"/>
    <xf numFmtId="0" fontId="2" fillId="0" borderId="10" xfId="0" applyFont="1" applyBorder="1"/>
    <xf numFmtId="0" fontId="2" fillId="0" borderId="11" xfId="0" applyFont="1" applyBorder="1"/>
    <xf numFmtId="164" fontId="0" fillId="0" borderId="0" xfId="0" applyNumberFormat="1"/>
    <xf numFmtId="0" fontId="5" fillId="0" borderId="2" xfId="0" applyFont="1" applyBorder="1"/>
    <xf numFmtId="0" fontId="6" fillId="0" borderId="3" xfId="0" applyFont="1" applyBorder="1"/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3" fontId="9" fillId="4" borderId="15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5" fillId="0" borderId="3" xfId="0" applyFont="1" applyBorder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3" fontId="0" fillId="3" borderId="14" xfId="0" applyNumberFormat="1" applyFill="1" applyBorder="1"/>
    <xf numFmtId="0" fontId="0" fillId="0" borderId="3" xfId="0" applyBorder="1"/>
    <xf numFmtId="0" fontId="9" fillId="0" borderId="0" xfId="0" applyFont="1"/>
    <xf numFmtId="0" fontId="10" fillId="0" borderId="10" xfId="0" applyFont="1" applyBorder="1"/>
    <xf numFmtId="0" fontId="10" fillId="0" borderId="11" xfId="0" applyFont="1" applyBorder="1"/>
    <xf numFmtId="0" fontId="9" fillId="0" borderId="5" xfId="0" applyFont="1" applyBorder="1" applyAlignment="1">
      <alignment horizontal="center"/>
    </xf>
    <xf numFmtId="165" fontId="0" fillId="4" borderId="15" xfId="1" applyNumberFormat="1" applyFont="1" applyFill="1" applyBorder="1"/>
    <xf numFmtId="165" fontId="0" fillId="4" borderId="14" xfId="1" applyNumberFormat="1" applyFont="1" applyFill="1" applyBorder="1"/>
    <xf numFmtId="165" fontId="2" fillId="4" borderId="1" xfId="1" applyNumberFormat="1" applyFont="1" applyFill="1" applyBorder="1"/>
    <xf numFmtId="165" fontId="2" fillId="3" borderId="1" xfId="1" applyNumberFormat="1" applyFont="1" applyFill="1" applyBorder="1"/>
    <xf numFmtId="49" fontId="0" fillId="0" borderId="0" xfId="0" applyNumberFormat="1"/>
    <xf numFmtId="165" fontId="0" fillId="3" borderId="0" xfId="2" applyNumberFormat="1" applyFont="1" applyFill="1"/>
    <xf numFmtId="165" fontId="5" fillId="3" borderId="1" xfId="1" applyNumberFormat="1" applyFont="1" applyFill="1" applyBorder="1"/>
    <xf numFmtId="165" fontId="6" fillId="3" borderId="15" xfId="1" applyNumberFormat="1" applyFont="1" applyFill="1" applyBorder="1"/>
    <xf numFmtId="165" fontId="6" fillId="3" borderId="15" xfId="1" applyNumberFormat="1" applyFont="1" applyFill="1" applyBorder="1" applyAlignment="1">
      <alignment horizontal="center"/>
    </xf>
    <xf numFmtId="165" fontId="6" fillId="3" borderId="14" xfId="1" applyNumberFormat="1" applyFont="1" applyFill="1" applyBorder="1"/>
    <xf numFmtId="165" fontId="0" fillId="3" borderId="15" xfId="1" applyNumberFormat="1" applyFont="1" applyFill="1" applyBorder="1"/>
    <xf numFmtId="0" fontId="5" fillId="0" borderId="5" xfId="0" applyFont="1" applyBorder="1" applyAlignment="1">
      <alignment horizontal="left"/>
    </xf>
    <xf numFmtId="165" fontId="0" fillId="3" borderId="14" xfId="1" applyNumberFormat="1" applyFont="1" applyFill="1" applyBorder="1"/>
    <xf numFmtId="165" fontId="0" fillId="0" borderId="0" xfId="0" applyNumberFormat="1"/>
    <xf numFmtId="165" fontId="2" fillId="3" borderId="15" xfId="1" applyNumberFormat="1" applyFont="1" applyFill="1" applyBorder="1"/>
    <xf numFmtId="165" fontId="0" fillId="3" borderId="15" xfId="2" applyNumberFormat="1" applyFont="1" applyFill="1" applyBorder="1"/>
    <xf numFmtId="165" fontId="0" fillId="3" borderId="14" xfId="2" applyNumberFormat="1" applyFont="1" applyFill="1" applyBorder="1"/>
    <xf numFmtId="3" fontId="0" fillId="3" borderId="5" xfId="0" applyNumberFormat="1" applyFill="1" applyBorder="1"/>
    <xf numFmtId="0" fontId="2" fillId="6" borderId="13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165" fontId="6" fillId="6" borderId="15" xfId="1" applyNumberFormat="1" applyFont="1" applyFill="1" applyBorder="1" applyAlignment="1">
      <alignment horizontal="center"/>
    </xf>
    <xf numFmtId="165" fontId="5" fillId="6" borderId="1" xfId="1" applyNumberFormat="1" applyFont="1" applyFill="1" applyBorder="1"/>
    <xf numFmtId="3" fontId="5" fillId="6" borderId="6" xfId="0" applyNumberFormat="1" applyFont="1" applyFill="1" applyBorder="1" applyAlignment="1">
      <alignment horizontal="center"/>
    </xf>
    <xf numFmtId="3" fontId="0" fillId="6" borderId="15" xfId="0" applyNumberFormat="1" applyFill="1" applyBorder="1"/>
    <xf numFmtId="0" fontId="5" fillId="6" borderId="13" xfId="0" applyFont="1" applyFill="1" applyBorder="1" applyAlignment="1">
      <alignment horizontal="center"/>
    </xf>
    <xf numFmtId="165" fontId="0" fillId="6" borderId="15" xfId="1" applyNumberFormat="1" applyFont="1" applyFill="1" applyBorder="1"/>
    <xf numFmtId="3" fontId="9" fillId="6" borderId="15" xfId="0" applyNumberFormat="1" applyFont="1" applyFill="1" applyBorder="1"/>
    <xf numFmtId="0" fontId="5" fillId="3" borderId="4" xfId="0" applyFont="1" applyFill="1" applyBorder="1" applyAlignment="1">
      <alignment horizontal="center"/>
    </xf>
    <xf numFmtId="3" fontId="6" fillId="6" borderId="15" xfId="0" applyNumberFormat="1" applyFont="1" applyFill="1" applyBorder="1"/>
    <xf numFmtId="3" fontId="0" fillId="6" borderId="14" xfId="0" applyNumberFormat="1" applyFill="1" applyBorder="1"/>
    <xf numFmtId="165" fontId="6" fillId="6" borderId="15" xfId="1" applyNumberFormat="1" applyFont="1" applyFill="1" applyBorder="1"/>
    <xf numFmtId="165" fontId="6" fillId="6" borderId="14" xfId="1" applyNumberFormat="1" applyFont="1" applyFill="1" applyBorder="1"/>
    <xf numFmtId="165" fontId="2" fillId="6" borderId="15" xfId="1" applyNumberFormat="1" applyFont="1" applyFill="1" applyBorder="1"/>
    <xf numFmtId="3" fontId="5" fillId="3" borderId="14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right"/>
    </xf>
    <xf numFmtId="0" fontId="11" fillId="0" borderId="2" xfId="0" applyFont="1" applyBorder="1"/>
    <xf numFmtId="165" fontId="11" fillId="3" borderId="13" xfId="1" applyNumberFormat="1" applyFont="1" applyFill="1" applyBorder="1" applyAlignment="1">
      <alignment horizontal="center"/>
    </xf>
    <xf numFmtId="0" fontId="11" fillId="0" borderId="7" xfId="0" applyFont="1" applyBorder="1"/>
    <xf numFmtId="165" fontId="11" fillId="3" borderId="14" xfId="1" applyNumberFormat="1" applyFont="1" applyFill="1" applyBorder="1" applyAlignment="1">
      <alignment horizontal="center"/>
    </xf>
    <xf numFmtId="0" fontId="11" fillId="0" borderId="5" xfId="0" applyFont="1" applyBorder="1"/>
    <xf numFmtId="165" fontId="11" fillId="3" borderId="15" xfId="1" applyNumberFormat="1" applyFont="1" applyFill="1" applyBorder="1" applyAlignment="1">
      <alignment horizontal="center"/>
    </xf>
    <xf numFmtId="165" fontId="6" fillId="3" borderId="14" xfId="1" applyNumberFormat="1" applyFont="1" applyFill="1" applyBorder="1" applyAlignment="1">
      <alignment horizontal="center"/>
    </xf>
    <xf numFmtId="43" fontId="0" fillId="6" borderId="15" xfId="1" applyFont="1" applyFill="1" applyBorder="1"/>
    <xf numFmtId="0" fontId="12" fillId="0" borderId="13" xfId="0" applyFont="1" applyBorder="1"/>
    <xf numFmtId="165" fontId="12" fillId="6" borderId="13" xfId="1" applyNumberFormat="1" applyFont="1" applyFill="1" applyBorder="1"/>
    <xf numFmtId="0" fontId="12" fillId="0" borderId="15" xfId="0" applyFont="1" applyBorder="1"/>
    <xf numFmtId="165" fontId="12" fillId="6" borderId="15" xfId="1" applyNumberFormat="1" applyFont="1" applyFill="1" applyBorder="1"/>
    <xf numFmtId="0" fontId="12" fillId="0" borderId="14" xfId="0" applyFont="1" applyBorder="1"/>
    <xf numFmtId="165" fontId="0" fillId="3" borderId="13" xfId="1" applyNumberFormat="1" applyFont="1" applyFill="1" applyBorder="1"/>
    <xf numFmtId="165" fontId="0" fillId="4" borderId="13" xfId="1" applyNumberFormat="1" applyFont="1" applyFill="1" applyBorder="1"/>
    <xf numFmtId="0" fontId="5" fillId="0" borderId="4" xfId="0" applyFont="1" applyBorder="1"/>
    <xf numFmtId="0" fontId="5" fillId="0" borderId="6" xfId="0" applyFont="1" applyBorder="1"/>
    <xf numFmtId="0" fontId="6" fillId="0" borderId="6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165" fontId="0" fillId="6" borderId="13" xfId="1" applyNumberFormat="1" applyFont="1" applyFill="1" applyBorder="1"/>
    <xf numFmtId="165" fontId="0" fillId="6" borderId="14" xfId="1" applyNumberFormat="1" applyFont="1" applyFill="1" applyBorder="1"/>
    <xf numFmtId="3" fontId="8" fillId="0" borderId="3" xfId="0" applyNumberFormat="1" applyFont="1" applyBorder="1"/>
    <xf numFmtId="165" fontId="5" fillId="3" borderId="13" xfId="1" applyNumberFormat="1" applyFont="1" applyFill="1" applyBorder="1"/>
    <xf numFmtId="165" fontId="5" fillId="6" borderId="13" xfId="1" applyNumberFormat="1" applyFont="1" applyFill="1" applyBorder="1"/>
    <xf numFmtId="0" fontId="2" fillId="0" borderId="0" xfId="0" applyFont="1"/>
    <xf numFmtId="0" fontId="14" fillId="0" borderId="0" xfId="0" applyFont="1"/>
    <xf numFmtId="3" fontId="5" fillId="7" borderId="13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165" fontId="6" fillId="7" borderId="15" xfId="1" applyNumberFormat="1" applyFont="1" applyFill="1" applyBorder="1" applyAlignment="1">
      <alignment horizontal="center"/>
    </xf>
    <xf numFmtId="165" fontId="6" fillId="7" borderId="15" xfId="1" applyNumberFormat="1" applyFont="1" applyFill="1" applyBorder="1"/>
    <xf numFmtId="165" fontId="5" fillId="7" borderId="1" xfId="1" applyNumberFormat="1" applyFont="1" applyFill="1" applyBorder="1"/>
    <xf numFmtId="165" fontId="12" fillId="6" borderId="14" xfId="0" applyNumberFormat="1" applyFont="1" applyFill="1" applyBorder="1"/>
    <xf numFmtId="0" fontId="0" fillId="6" borderId="15" xfId="0" applyFill="1" applyBorder="1"/>
    <xf numFmtId="165" fontId="0" fillId="6" borderId="15" xfId="0" applyNumberFormat="1" applyFill="1" applyBorder="1"/>
    <xf numFmtId="0" fontId="5" fillId="3" borderId="0" xfId="0" applyFont="1" applyFill="1" applyAlignment="1">
      <alignment horizontal="center"/>
    </xf>
    <xf numFmtId="165" fontId="0" fillId="7" borderId="15" xfId="2" applyNumberFormat="1" applyFont="1" applyFill="1" applyBorder="1"/>
    <xf numFmtId="165" fontId="2" fillId="7" borderId="1" xfId="1" applyNumberFormat="1" applyFont="1" applyFill="1" applyBorder="1"/>
    <xf numFmtId="3" fontId="0" fillId="7" borderId="15" xfId="0" applyNumberFormat="1" applyFill="1" applyBorder="1"/>
    <xf numFmtId="0" fontId="5" fillId="7" borderId="15" xfId="0" applyFont="1" applyFill="1" applyBorder="1" applyAlignment="1">
      <alignment horizontal="center"/>
    </xf>
    <xf numFmtId="165" fontId="6" fillId="7" borderId="14" xfId="1" applyNumberFormat="1" applyFont="1" applyFill="1" applyBorder="1"/>
    <xf numFmtId="0" fontId="5" fillId="7" borderId="13" xfId="0" applyFont="1" applyFill="1" applyBorder="1" applyAlignment="1">
      <alignment horizontal="center"/>
    </xf>
    <xf numFmtId="3" fontId="6" fillId="7" borderId="15" xfId="0" applyNumberFormat="1" applyFont="1" applyFill="1" applyBorder="1"/>
    <xf numFmtId="43" fontId="0" fillId="0" borderId="0" xfId="0" applyNumberFormat="1"/>
    <xf numFmtId="0" fontId="2" fillId="7" borderId="13" xfId="0" applyFont="1" applyFill="1" applyBorder="1" applyAlignment="1">
      <alignment horizontal="center"/>
    </xf>
    <xf numFmtId="165" fontId="2" fillId="7" borderId="15" xfId="1" applyNumberFormat="1" applyFont="1" applyFill="1" applyBorder="1"/>
    <xf numFmtId="0" fontId="2" fillId="3" borderId="13" xfId="0" applyFont="1" applyFill="1" applyBorder="1" applyAlignment="1">
      <alignment horizontal="center"/>
    </xf>
    <xf numFmtId="3" fontId="9" fillId="3" borderId="15" xfId="0" applyNumberFormat="1" applyFont="1" applyFill="1" applyBorder="1"/>
    <xf numFmtId="165" fontId="10" fillId="6" borderId="15" xfId="1" applyNumberFormat="1" applyFont="1" applyFill="1" applyBorder="1"/>
    <xf numFmtId="165" fontId="0" fillId="7" borderId="15" xfId="1" applyNumberFormat="1" applyFont="1" applyFill="1" applyBorder="1"/>
    <xf numFmtId="165" fontId="15" fillId="6" borderId="13" xfId="1" applyNumberFormat="1" applyFont="1" applyFill="1" applyBorder="1"/>
    <xf numFmtId="165" fontId="15" fillId="6" borderId="15" xfId="1" applyNumberFormat="1" applyFont="1" applyFill="1" applyBorder="1"/>
    <xf numFmtId="165" fontId="15" fillId="6" borderId="14" xfId="1" applyNumberFormat="1" applyFont="1" applyFill="1" applyBorder="1"/>
    <xf numFmtId="165" fontId="15" fillId="7" borderId="13" xfId="1" applyNumberFormat="1" applyFont="1" applyFill="1" applyBorder="1"/>
    <xf numFmtId="165" fontId="15" fillId="7" borderId="15" xfId="1" applyNumberFormat="1" applyFont="1" applyFill="1" applyBorder="1"/>
    <xf numFmtId="165" fontId="15" fillId="7" borderId="14" xfId="1" applyNumberFormat="1" applyFont="1" applyFill="1" applyBorder="1"/>
    <xf numFmtId="165" fontId="6" fillId="6" borderId="14" xfId="1" applyNumberFormat="1" applyFont="1" applyFill="1" applyBorder="1" applyAlignment="1">
      <alignment horizontal="center"/>
    </xf>
    <xf numFmtId="3" fontId="9" fillId="7" borderId="15" xfId="0" applyNumberFormat="1" applyFont="1" applyFill="1" applyBorder="1"/>
    <xf numFmtId="165" fontId="0" fillId="7" borderId="13" xfId="1" applyNumberFormat="1" applyFont="1" applyFill="1" applyBorder="1"/>
    <xf numFmtId="165" fontId="0" fillId="7" borderId="14" xfId="1" applyNumberFormat="1" applyFont="1" applyFill="1" applyBorder="1"/>
    <xf numFmtId="165" fontId="0" fillId="6" borderId="15" xfId="2" applyNumberFormat="1" applyFont="1" applyFill="1" applyBorder="1"/>
    <xf numFmtId="3" fontId="6" fillId="6" borderId="14" xfId="0" applyNumberFormat="1" applyFont="1" applyFill="1" applyBorder="1"/>
    <xf numFmtId="165" fontId="5" fillId="7" borderId="13" xfId="1" applyNumberFormat="1" applyFont="1" applyFill="1" applyBorder="1"/>
    <xf numFmtId="0" fontId="5" fillId="3" borderId="3" xfId="0" applyFont="1" applyFill="1" applyBorder="1" applyAlignment="1">
      <alignment horizontal="center"/>
    </xf>
    <xf numFmtId="3" fontId="6" fillId="3" borderId="0" xfId="0" applyNumberFormat="1" applyFont="1" applyFill="1"/>
    <xf numFmtId="0" fontId="11" fillId="0" borderId="2" xfId="0" applyFont="1" applyBorder="1" applyAlignment="1">
      <alignment horizontal="left" indent="2"/>
    </xf>
    <xf numFmtId="0" fontId="11" fillId="0" borderId="5" xfId="0" applyFont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165" fontId="12" fillId="3" borderId="13" xfId="1" applyNumberFormat="1" applyFont="1" applyFill="1" applyBorder="1"/>
    <xf numFmtId="165" fontId="16" fillId="6" borderId="13" xfId="1" applyNumberFormat="1" applyFont="1" applyFill="1" applyBorder="1"/>
    <xf numFmtId="165" fontId="12" fillId="3" borderId="15" xfId="1" applyNumberFormat="1" applyFont="1" applyFill="1" applyBorder="1"/>
    <xf numFmtId="165" fontId="16" fillId="6" borderId="15" xfId="1" applyNumberFormat="1" applyFont="1" applyFill="1" applyBorder="1"/>
    <xf numFmtId="165" fontId="12" fillId="3" borderId="14" xfId="1" applyNumberFormat="1" applyFont="1" applyFill="1" applyBorder="1"/>
    <xf numFmtId="165" fontId="16" fillId="6" borderId="14" xfId="1" applyNumberFormat="1" applyFont="1" applyFill="1" applyBorder="1"/>
    <xf numFmtId="3" fontId="5" fillId="3" borderId="15" xfId="0" applyNumberFormat="1" applyFont="1" applyFill="1" applyBorder="1" applyAlignment="1">
      <alignment horizontal="center"/>
    </xf>
    <xf numFmtId="3" fontId="5" fillId="7" borderId="15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5" fontId="17" fillId="3" borderId="14" xfId="1" applyNumberFormat="1" applyFont="1" applyFill="1" applyBorder="1"/>
    <xf numFmtId="165" fontId="17" fillId="7" borderId="14" xfId="1" applyNumberFormat="1" applyFont="1" applyFill="1" applyBorder="1"/>
    <xf numFmtId="165" fontId="17" fillId="6" borderId="14" xfId="1" applyNumberFormat="1" applyFont="1" applyFill="1" applyBorder="1"/>
    <xf numFmtId="0" fontId="12" fillId="0" borderId="3" xfId="0" applyFont="1" applyBorder="1"/>
    <xf numFmtId="164" fontId="12" fillId="0" borderId="3" xfId="0" applyNumberFormat="1" applyFont="1" applyBorder="1"/>
    <xf numFmtId="165" fontId="17" fillId="3" borderId="1" xfId="1" applyNumberFormat="1" applyFont="1" applyFill="1" applyBorder="1"/>
    <xf numFmtId="165" fontId="17" fillId="7" borderId="1" xfId="1" applyNumberFormat="1" applyFont="1" applyFill="1" applyBorder="1"/>
    <xf numFmtId="165" fontId="17" fillId="6" borderId="1" xfId="1" applyNumberFormat="1" applyFont="1" applyFill="1" applyBorder="1"/>
    <xf numFmtId="165" fontId="16" fillId="0" borderId="0" xfId="1" applyNumberFormat="1" applyFont="1" applyBorder="1"/>
    <xf numFmtId="0" fontId="2" fillId="6" borderId="14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3" fontId="6" fillId="7" borderId="14" xfId="0" applyNumberFormat="1" applyFont="1" applyFill="1" applyBorder="1"/>
    <xf numFmtId="3" fontId="5" fillId="7" borderId="6" xfId="0" applyNumberFormat="1" applyFont="1" applyFill="1" applyBorder="1" applyAlignment="1">
      <alignment horizontal="center"/>
    </xf>
    <xf numFmtId="165" fontId="2" fillId="7" borderId="13" xfId="1" applyNumberFormat="1" applyFont="1" applyFill="1" applyBorder="1"/>
    <xf numFmtId="165" fontId="2" fillId="7" borderId="14" xfId="1" applyNumberFormat="1" applyFont="1" applyFill="1" applyBorder="1"/>
    <xf numFmtId="3" fontId="5" fillId="7" borderId="14" xfId="0" applyNumberFormat="1" applyFont="1" applyFill="1" applyBorder="1" applyAlignment="1">
      <alignment horizontal="center" wrapText="1"/>
    </xf>
    <xf numFmtId="165" fontId="11" fillId="7" borderId="13" xfId="1" applyNumberFormat="1" applyFont="1" applyFill="1" applyBorder="1" applyAlignment="1">
      <alignment horizontal="center"/>
    </xf>
    <xf numFmtId="165" fontId="11" fillId="7" borderId="14" xfId="1" applyNumberFormat="1" applyFont="1" applyFill="1" applyBorder="1" applyAlignment="1">
      <alignment horizontal="center"/>
    </xf>
    <xf numFmtId="165" fontId="11" fillId="7" borderId="15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165" fontId="6" fillId="3" borderId="13" xfId="1" applyNumberFormat="1" applyFont="1" applyFill="1" applyBorder="1" applyAlignment="1">
      <alignment horizontal="center"/>
    </xf>
    <xf numFmtId="165" fontId="6" fillId="7" borderId="15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0" applyNumberFormat="1" applyFont="1"/>
    <xf numFmtId="43" fontId="6" fillId="7" borderId="14" xfId="1" applyFont="1" applyFill="1" applyBorder="1"/>
    <xf numFmtId="43" fontId="16" fillId="0" borderId="0" xfId="1" applyFont="1" applyBorder="1"/>
    <xf numFmtId="43" fontId="12" fillId="0" borderId="0" xfId="0" applyNumberFormat="1" applyFont="1"/>
    <xf numFmtId="43" fontId="16" fillId="0" borderId="0" xfId="0" applyNumberFormat="1" applyFont="1"/>
    <xf numFmtId="0" fontId="18" fillId="0" borderId="16" xfId="0" applyFont="1" applyBorder="1" applyAlignment="1">
      <alignment horizontal="left" indent="1"/>
    </xf>
    <xf numFmtId="0" fontId="18" fillId="0" borderId="17" xfId="0" applyFont="1" applyBorder="1" applyAlignment="1">
      <alignment horizontal="left" indent="1"/>
    </xf>
    <xf numFmtId="0" fontId="18" fillId="0" borderId="18" xfId="0" applyFont="1" applyBorder="1" applyAlignment="1">
      <alignment horizontal="left" indent="1"/>
    </xf>
    <xf numFmtId="165" fontId="0" fillId="3" borderId="19" xfId="2" applyNumberFormat="1" applyFont="1" applyFill="1" applyBorder="1"/>
    <xf numFmtId="165" fontId="0" fillId="3" borderId="22" xfId="2" applyNumberFormat="1" applyFont="1" applyFill="1" applyBorder="1"/>
    <xf numFmtId="165" fontId="12" fillId="3" borderId="19" xfId="2" applyNumberFormat="1" applyFont="1" applyFill="1" applyBorder="1"/>
    <xf numFmtId="165" fontId="11" fillId="6" borderId="19" xfId="1" applyNumberFormat="1" applyFont="1" applyFill="1" applyBorder="1" applyAlignment="1">
      <alignment horizontal="center"/>
    </xf>
    <xf numFmtId="165" fontId="11" fillId="7" borderId="20" xfId="1" applyNumberFormat="1" applyFont="1" applyFill="1" applyBorder="1" applyAlignment="1">
      <alignment horizontal="center"/>
    </xf>
    <xf numFmtId="165" fontId="12" fillId="3" borderId="15" xfId="2" applyNumberFormat="1" applyFont="1" applyFill="1" applyBorder="1"/>
    <xf numFmtId="165" fontId="11" fillId="6" borderId="15" xfId="1" applyNumberFormat="1" applyFont="1" applyFill="1" applyBorder="1" applyAlignment="1">
      <alignment horizontal="center"/>
    </xf>
    <xf numFmtId="165" fontId="11" fillId="7" borderId="21" xfId="1" applyNumberFormat="1" applyFont="1" applyFill="1" applyBorder="1" applyAlignment="1">
      <alignment horizontal="center"/>
    </xf>
    <xf numFmtId="165" fontId="12" fillId="3" borderId="22" xfId="2" applyNumberFormat="1" applyFont="1" applyFill="1" applyBorder="1"/>
    <xf numFmtId="165" fontId="11" fillId="6" borderId="22" xfId="1" applyNumberFormat="1" applyFont="1" applyFill="1" applyBorder="1" applyAlignment="1">
      <alignment horizontal="center"/>
    </xf>
    <xf numFmtId="165" fontId="11" fillId="7" borderId="23" xfId="1" applyNumberFormat="1" applyFont="1" applyFill="1" applyBorder="1" applyAlignment="1">
      <alignment horizontal="center"/>
    </xf>
    <xf numFmtId="0" fontId="11" fillId="0" borderId="16" xfId="0" applyFont="1" applyBorder="1"/>
    <xf numFmtId="165" fontId="0" fillId="3" borderId="24" xfId="2" applyNumberFormat="1" applyFont="1" applyFill="1" applyBorder="1"/>
    <xf numFmtId="165" fontId="0" fillId="6" borderId="19" xfId="1" applyNumberFormat="1" applyFont="1" applyFill="1" applyBorder="1"/>
    <xf numFmtId="0" fontId="11" fillId="0" borderId="17" xfId="0" applyFont="1" applyBorder="1"/>
    <xf numFmtId="165" fontId="0" fillId="3" borderId="0" xfId="2" applyNumberFormat="1" applyFont="1" applyFill="1" applyBorder="1"/>
    <xf numFmtId="165" fontId="0" fillId="3" borderId="25" xfId="2" applyNumberFormat="1" applyFont="1" applyFill="1" applyBorder="1"/>
    <xf numFmtId="165" fontId="0" fillId="6" borderId="22" xfId="1" applyNumberFormat="1" applyFont="1" applyFill="1" applyBorder="1"/>
    <xf numFmtId="165" fontId="12" fillId="3" borderId="24" xfId="2" applyNumberFormat="1" applyFont="1" applyFill="1" applyBorder="1"/>
    <xf numFmtId="165" fontId="12" fillId="6" borderId="19" xfId="1" applyNumberFormat="1" applyFont="1" applyFill="1" applyBorder="1"/>
    <xf numFmtId="165" fontId="12" fillId="7" borderId="20" xfId="2" applyNumberFormat="1" applyFont="1" applyFill="1" applyBorder="1"/>
    <xf numFmtId="165" fontId="12" fillId="3" borderId="0" xfId="2" applyNumberFormat="1" applyFont="1" applyFill="1" applyBorder="1"/>
    <xf numFmtId="165" fontId="12" fillId="7" borderId="21" xfId="2" applyNumberFormat="1" applyFont="1" applyFill="1" applyBorder="1"/>
    <xf numFmtId="165" fontId="12" fillId="3" borderId="25" xfId="2" applyNumberFormat="1" applyFont="1" applyFill="1" applyBorder="1"/>
    <xf numFmtId="165" fontId="12" fillId="6" borderId="22" xfId="1" applyNumberFormat="1" applyFont="1" applyFill="1" applyBorder="1"/>
    <xf numFmtId="165" fontId="12" fillId="7" borderId="23" xfId="2" applyNumberFormat="1" applyFont="1" applyFill="1" applyBorder="1"/>
    <xf numFmtId="165" fontId="12" fillId="7" borderId="5" xfId="2" applyNumberFormat="1" applyFont="1" applyFill="1" applyBorder="1"/>
    <xf numFmtId="0" fontId="11" fillId="0" borderId="18" xfId="0" applyFont="1" applyBorder="1"/>
    <xf numFmtId="43" fontId="16" fillId="0" borderId="0" xfId="1" applyFont="1"/>
    <xf numFmtId="165" fontId="12" fillId="6" borderId="13" xfId="0" applyNumberFormat="1" applyFont="1" applyFill="1" applyBorder="1"/>
    <xf numFmtId="165" fontId="12" fillId="6" borderId="15" xfId="0" applyNumberFormat="1" applyFont="1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5" fontId="14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3" fontId="4" fillId="5" borderId="10" xfId="0" applyNumberFormat="1" applyFont="1" applyFill="1" applyBorder="1" applyAlignment="1">
      <alignment horizontal="center"/>
    </xf>
    <xf numFmtId="3" fontId="7" fillId="5" borderId="11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" fontId="4" fillId="5" borderId="11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</cellXfs>
  <cellStyles count="3">
    <cellStyle name="Comma" xfId="1" builtinId="3"/>
    <cellStyle name="Comma 2" xfId="2" xr:uid="{16E4A81A-4A6E-4240-91A6-A6BD3F6EF35D}"/>
    <cellStyle name="Normal" xfId="0" builtinId="0"/>
  </cellStyles>
  <dxfs count="0"/>
  <tableStyles count="0" defaultTableStyle="TableStyleMedium2" defaultPivotStyle="PivotStyleLight16"/>
  <colors>
    <mruColors>
      <color rgb="FFCCFF33"/>
      <color rgb="FFEFE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5</xdr:row>
      <xdr:rowOff>28575</xdr:rowOff>
    </xdr:from>
    <xdr:to>
      <xdr:col>6</xdr:col>
      <xdr:colOff>571500</xdr:colOff>
      <xdr:row>14</xdr:row>
      <xdr:rowOff>76581</xdr:rowOff>
    </xdr:to>
    <xdr:pic>
      <xdr:nvPicPr>
        <xdr:cNvPr id="2" name="Picture 1" descr="TTC crest JPEG Original High Quality.jpg">
          <a:extLst>
            <a:ext uri="{FF2B5EF4-FFF2-40B4-BE49-F238E27FC236}">
              <a16:creationId xmlns:a16="http://schemas.microsoft.com/office/drawing/2014/main" id="{6414BFB1-A8FB-4A97-A7CA-06F9AA9E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6950" y="981075"/>
          <a:ext cx="1962150" cy="176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8905-8FE9-4BB7-956A-20DDEC118DE4}">
  <sheetPr codeName="Sheet1">
    <pageSetUpPr fitToPage="1"/>
  </sheetPr>
  <dimension ref="A19:K23"/>
  <sheetViews>
    <sheetView topLeftCell="A21" workbookViewId="0">
      <selection sqref="A1:K50"/>
    </sheetView>
  </sheetViews>
  <sheetFormatPr defaultRowHeight="14.4" x14ac:dyDescent="0.3"/>
  <sheetData>
    <row r="19" spans="1:11" ht="23.4" x14ac:dyDescent="0.45">
      <c r="A19" s="226" t="s">
        <v>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1" spans="1:11" ht="21" x14ac:dyDescent="0.4">
      <c r="A21" s="227" t="s">
        <v>256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pans="1:11" ht="21" x14ac:dyDescent="0.4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</row>
    <row r="23" spans="1:11" ht="21" x14ac:dyDescent="0.4">
      <c r="A23" s="228" t="s">
        <v>213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</row>
  </sheetData>
  <mergeCells count="3">
    <mergeCell ref="A19:K19"/>
    <mergeCell ref="A21:K21"/>
    <mergeCell ref="A23:K23"/>
  </mergeCell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19C7-A4F4-4B15-BAD1-26D7C59C537E}">
  <sheetPr codeName="Sheet12">
    <pageSetUpPr fitToPage="1"/>
  </sheetPr>
  <dimension ref="B2:J43"/>
  <sheetViews>
    <sheetView topLeftCell="A10" workbookViewId="0">
      <selection activeCell="J35" sqref="J35"/>
    </sheetView>
  </sheetViews>
  <sheetFormatPr defaultRowHeight="14.4" x14ac:dyDescent="0.3"/>
  <cols>
    <col min="1" max="1" width="2.44140625" customWidth="1"/>
    <col min="2" max="2" width="7.5546875" customWidth="1"/>
    <col min="3" max="3" width="25.5546875" customWidth="1"/>
    <col min="4" max="10" width="10.6640625" customWidth="1"/>
    <col min="11" max="11" width="3" customWidth="1"/>
  </cols>
  <sheetData>
    <row r="2" spans="2:10" ht="18" x14ac:dyDescent="0.35">
      <c r="B2" s="234" t="s">
        <v>1</v>
      </c>
      <c r="C2" s="235"/>
      <c r="D2" s="235"/>
      <c r="E2" s="235"/>
      <c r="F2" s="235"/>
      <c r="G2" s="235"/>
      <c r="H2" s="235"/>
      <c r="I2" s="235"/>
      <c r="J2" s="236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198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255"/>
      <c r="C6" s="256"/>
      <c r="D6" s="3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6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28" t="s">
        <v>12</v>
      </c>
      <c r="E8" s="29" t="s">
        <v>12</v>
      </c>
      <c r="F8" s="29" t="s">
        <v>12</v>
      </c>
      <c r="G8" s="29" t="s">
        <v>12</v>
      </c>
      <c r="H8" s="161" t="s">
        <v>12</v>
      </c>
      <c r="I8" s="74" t="s">
        <v>12</v>
      </c>
      <c r="J8" s="128" t="s">
        <v>12</v>
      </c>
    </row>
    <row r="9" spans="2:10" x14ac:dyDescent="0.3">
      <c r="B9" s="35"/>
      <c r="C9" s="36"/>
      <c r="D9" s="34"/>
      <c r="E9" s="21"/>
      <c r="F9" s="21"/>
      <c r="G9" s="21"/>
      <c r="H9" s="21"/>
      <c r="I9" s="76"/>
      <c r="J9" s="125"/>
    </row>
    <row r="10" spans="2:10" x14ac:dyDescent="0.3">
      <c r="B10" s="37" t="s">
        <v>149</v>
      </c>
      <c r="C10" s="38"/>
      <c r="D10" s="52">
        <f t="shared" ref="D10:F10" si="0">SUM(D9:D9)</f>
        <v>0</v>
      </c>
      <c r="E10" s="56">
        <f t="shared" si="0"/>
        <v>0</v>
      </c>
      <c r="F10" s="56">
        <f t="shared" si="0"/>
        <v>0</v>
      </c>
      <c r="G10" s="56"/>
      <c r="H10" s="56"/>
      <c r="I10" s="71">
        <f t="shared" ref="I10" si="1">SUM(I9:I9)</f>
        <v>0</v>
      </c>
      <c r="J10" s="118"/>
    </row>
    <row r="11" spans="2:10" ht="15.6" x14ac:dyDescent="0.3">
      <c r="B11" s="252" t="s">
        <v>15</v>
      </c>
      <c r="C11" s="253"/>
      <c r="D11" s="253"/>
      <c r="E11" s="253"/>
      <c r="F11" s="253"/>
      <c r="G11" s="253"/>
      <c r="H11" s="253"/>
      <c r="I11" s="253"/>
      <c r="J11" s="254"/>
    </row>
    <row r="12" spans="2:10" x14ac:dyDescent="0.3">
      <c r="B12" s="257" t="s">
        <v>142</v>
      </c>
      <c r="C12" s="258"/>
      <c r="D12" s="3" t="s">
        <v>3</v>
      </c>
      <c r="E12" s="16" t="s">
        <v>4</v>
      </c>
      <c r="F12" s="16" t="s">
        <v>5</v>
      </c>
      <c r="G12" s="16" t="s">
        <v>6</v>
      </c>
      <c r="H12" s="16" t="s">
        <v>7</v>
      </c>
      <c r="I12" s="68" t="s">
        <v>199</v>
      </c>
      <c r="J12" s="131" t="s">
        <v>215</v>
      </c>
    </row>
    <row r="13" spans="2:10" ht="28.8" x14ac:dyDescent="0.3">
      <c r="B13" s="1" t="str">
        <f>+B7</f>
        <v>N/C</v>
      </c>
      <c r="C13" s="102" t="str">
        <f t="shared" ref="C13" si="2">+C7</f>
        <v>NAME</v>
      </c>
      <c r="D13" s="6" t="s">
        <v>10</v>
      </c>
      <c r="E13" s="83" t="s">
        <v>10</v>
      </c>
      <c r="F13" s="83" t="s">
        <v>10</v>
      </c>
      <c r="G13" s="83" t="s">
        <v>10</v>
      </c>
      <c r="H13" s="83" t="s">
        <v>10</v>
      </c>
      <c r="I13" s="173" t="s">
        <v>181</v>
      </c>
      <c r="J13" s="174" t="s">
        <v>200</v>
      </c>
    </row>
    <row r="14" spans="2:10" x14ac:dyDescent="0.3">
      <c r="B14" s="11"/>
      <c r="C14" s="2" t="s">
        <v>97</v>
      </c>
      <c r="D14" s="50">
        <v>27000</v>
      </c>
      <c r="E14" s="60">
        <v>25000</v>
      </c>
      <c r="F14" s="60">
        <v>25000</v>
      </c>
      <c r="G14" s="60">
        <v>26000</v>
      </c>
      <c r="H14" s="161" t="s">
        <v>12</v>
      </c>
      <c r="I14" s="74" t="s">
        <v>12</v>
      </c>
      <c r="J14" s="136"/>
    </row>
    <row r="15" spans="2:10" x14ac:dyDescent="0.3">
      <c r="B15" s="11"/>
      <c r="C15" s="2" t="s">
        <v>99</v>
      </c>
      <c r="D15" s="50">
        <v>22000</v>
      </c>
      <c r="E15" s="60">
        <v>22000</v>
      </c>
      <c r="F15" s="60">
        <v>12000</v>
      </c>
      <c r="G15" s="60">
        <v>59933</v>
      </c>
      <c r="H15" s="60">
        <v>63000</v>
      </c>
      <c r="I15" s="75">
        <v>42659</v>
      </c>
      <c r="J15" s="136">
        <v>42659</v>
      </c>
    </row>
    <row r="16" spans="2:10" x14ac:dyDescent="0.3">
      <c r="B16" s="11"/>
      <c r="C16" s="2" t="s">
        <v>98</v>
      </c>
      <c r="D16" s="50">
        <v>10000</v>
      </c>
      <c r="E16" s="60">
        <v>10000</v>
      </c>
      <c r="F16" s="60">
        <v>10000</v>
      </c>
      <c r="G16" s="60">
        <v>5000</v>
      </c>
      <c r="H16" s="60">
        <v>8000</v>
      </c>
      <c r="I16" s="75"/>
      <c r="J16" s="136">
        <v>0</v>
      </c>
    </row>
    <row r="17" spans="2:10" x14ac:dyDescent="0.3">
      <c r="B17" s="11"/>
      <c r="C17" s="2" t="s">
        <v>254</v>
      </c>
      <c r="D17" s="50"/>
      <c r="E17" s="60"/>
      <c r="F17" s="60"/>
      <c r="G17" s="60"/>
      <c r="H17" s="60"/>
      <c r="I17" s="75"/>
      <c r="J17" s="136">
        <v>11798</v>
      </c>
    </row>
    <row r="18" spans="2:10" x14ac:dyDescent="0.3">
      <c r="B18" s="11"/>
      <c r="C18" s="2" t="s">
        <v>145</v>
      </c>
      <c r="D18" s="50"/>
      <c r="E18" s="60"/>
      <c r="F18" s="60"/>
      <c r="G18" s="60"/>
      <c r="H18" s="60"/>
      <c r="I18" s="75"/>
      <c r="J18" s="136"/>
    </row>
    <row r="19" spans="2:10" x14ac:dyDescent="0.3">
      <c r="B19" s="11"/>
      <c r="C19" s="2" t="s">
        <v>110</v>
      </c>
      <c r="D19" s="50"/>
      <c r="E19" s="60">
        <v>5000</v>
      </c>
      <c r="F19" s="60">
        <v>5000</v>
      </c>
      <c r="G19" s="60"/>
      <c r="H19" s="60"/>
      <c r="I19" s="75"/>
      <c r="J19" s="136"/>
    </row>
    <row r="20" spans="2:10" x14ac:dyDescent="0.3">
      <c r="B20" s="11"/>
      <c r="C20" s="2" t="s">
        <v>100</v>
      </c>
      <c r="D20" s="50">
        <v>7000</v>
      </c>
      <c r="E20" s="60">
        <v>7000</v>
      </c>
      <c r="F20" s="60">
        <v>7000</v>
      </c>
      <c r="G20" s="60"/>
      <c r="H20" s="60">
        <v>15000</v>
      </c>
      <c r="I20" s="75">
        <v>8204</v>
      </c>
      <c r="J20" s="136">
        <v>5000</v>
      </c>
    </row>
    <row r="21" spans="2:10" x14ac:dyDescent="0.3">
      <c r="B21" s="11"/>
      <c r="C21" s="2" t="s">
        <v>111</v>
      </c>
      <c r="D21" s="50"/>
      <c r="E21" s="60"/>
      <c r="F21" s="60">
        <v>10000</v>
      </c>
      <c r="G21" s="60"/>
      <c r="H21" s="60">
        <v>8000</v>
      </c>
      <c r="I21" s="75">
        <v>9844</v>
      </c>
      <c r="J21" s="136"/>
    </row>
    <row r="22" spans="2:10" x14ac:dyDescent="0.3">
      <c r="B22" s="11"/>
      <c r="C22" s="2" t="s">
        <v>102</v>
      </c>
      <c r="D22" s="50">
        <v>250</v>
      </c>
      <c r="E22" s="60">
        <v>250</v>
      </c>
      <c r="F22" s="60">
        <v>250</v>
      </c>
      <c r="G22" s="60"/>
      <c r="H22" s="60"/>
      <c r="I22" s="75"/>
      <c r="J22" s="136"/>
    </row>
    <row r="23" spans="2:10" x14ac:dyDescent="0.3">
      <c r="B23" s="11"/>
      <c r="C23" s="2" t="s">
        <v>103</v>
      </c>
      <c r="D23" s="50">
        <v>250</v>
      </c>
      <c r="E23" s="60">
        <v>250</v>
      </c>
      <c r="F23" s="60">
        <v>250</v>
      </c>
      <c r="G23" s="60"/>
      <c r="H23" s="60"/>
      <c r="I23" s="75"/>
      <c r="J23" s="136"/>
    </row>
    <row r="24" spans="2:10" x14ac:dyDescent="0.3">
      <c r="B24" s="11"/>
      <c r="C24" s="2" t="s">
        <v>104</v>
      </c>
      <c r="D24" s="50">
        <v>250</v>
      </c>
      <c r="E24" s="60">
        <v>250</v>
      </c>
      <c r="F24" s="60">
        <v>250</v>
      </c>
      <c r="G24" s="60"/>
      <c r="H24" s="60"/>
      <c r="I24" s="75"/>
      <c r="J24" s="136"/>
    </row>
    <row r="25" spans="2:10" x14ac:dyDescent="0.3">
      <c r="B25" s="11"/>
      <c r="C25" s="2" t="s">
        <v>0</v>
      </c>
      <c r="D25" s="50">
        <v>5000</v>
      </c>
      <c r="E25" s="60">
        <v>5000</v>
      </c>
      <c r="F25" s="60">
        <v>5000</v>
      </c>
      <c r="G25" s="60"/>
      <c r="H25" s="60"/>
      <c r="I25" s="75">
        <v>15250</v>
      </c>
      <c r="J25" s="136">
        <f>26000/4</f>
        <v>6500</v>
      </c>
    </row>
    <row r="26" spans="2:10" x14ac:dyDescent="0.3">
      <c r="B26" s="11"/>
      <c r="C26" s="2" t="s">
        <v>146</v>
      </c>
      <c r="D26" s="50"/>
      <c r="E26" s="60">
        <v>2217</v>
      </c>
      <c r="F26" s="60"/>
      <c r="G26" s="60"/>
      <c r="H26" s="60"/>
      <c r="I26" s="75"/>
      <c r="J26" s="136"/>
    </row>
    <row r="27" spans="2:10" x14ac:dyDescent="0.3">
      <c r="B27" s="11"/>
      <c r="C27" s="2" t="s">
        <v>105</v>
      </c>
      <c r="D27" s="50">
        <v>58156</v>
      </c>
      <c r="E27" s="60"/>
      <c r="F27" s="60"/>
      <c r="G27" s="60"/>
      <c r="H27" s="60"/>
      <c r="I27" s="75"/>
      <c r="J27" s="136"/>
    </row>
    <row r="28" spans="2:10" x14ac:dyDescent="0.3">
      <c r="B28" s="11"/>
      <c r="C28" s="2" t="s">
        <v>84</v>
      </c>
      <c r="D28" s="50">
        <v>5000</v>
      </c>
      <c r="E28" s="60">
        <v>5000</v>
      </c>
      <c r="F28" s="60">
        <v>5000</v>
      </c>
      <c r="G28" s="60"/>
      <c r="H28" s="60"/>
      <c r="I28" s="75"/>
      <c r="J28" s="136"/>
    </row>
    <row r="29" spans="2:10" x14ac:dyDescent="0.3">
      <c r="B29" s="11"/>
      <c r="C29" s="2" t="s">
        <v>118</v>
      </c>
      <c r="D29" s="50"/>
      <c r="E29" s="60">
        <v>60000</v>
      </c>
      <c r="F29" s="60"/>
      <c r="G29" s="60"/>
      <c r="H29" s="60"/>
      <c r="I29" s="75"/>
      <c r="J29" s="136"/>
    </row>
    <row r="30" spans="2:10" x14ac:dyDescent="0.3">
      <c r="B30" s="11"/>
      <c r="C30" s="2" t="s">
        <v>144</v>
      </c>
      <c r="D30" s="50"/>
      <c r="E30" s="60">
        <v>40000</v>
      </c>
      <c r="F30" s="60"/>
      <c r="G30" s="60"/>
      <c r="H30" s="60"/>
      <c r="I30" s="75"/>
      <c r="J30" s="136"/>
    </row>
    <row r="31" spans="2:10" x14ac:dyDescent="0.3">
      <c r="B31" s="11"/>
      <c r="C31" s="2" t="s">
        <v>101</v>
      </c>
      <c r="D31" s="50">
        <v>1500</v>
      </c>
      <c r="E31" s="60">
        <v>1500</v>
      </c>
      <c r="F31" s="60">
        <v>1500</v>
      </c>
      <c r="G31" s="60"/>
      <c r="H31" s="60"/>
      <c r="I31" s="75"/>
      <c r="J31" s="136"/>
    </row>
    <row r="32" spans="2:10" x14ac:dyDescent="0.3">
      <c r="B32" s="11"/>
      <c r="C32" s="2" t="s">
        <v>109</v>
      </c>
      <c r="D32" s="50"/>
      <c r="E32" s="60"/>
      <c r="F32" s="60">
        <v>8000</v>
      </c>
      <c r="G32" s="60"/>
      <c r="H32" s="60"/>
      <c r="I32" s="75"/>
      <c r="J32" s="136"/>
    </row>
    <row r="33" spans="2:10" x14ac:dyDescent="0.3">
      <c r="B33" s="11"/>
      <c r="C33" s="2" t="s">
        <v>171</v>
      </c>
      <c r="D33" s="50"/>
      <c r="E33" s="60"/>
      <c r="F33" s="60">
        <v>-31772</v>
      </c>
      <c r="G33" s="60"/>
      <c r="H33" s="60"/>
      <c r="I33" s="75"/>
      <c r="J33" s="136"/>
    </row>
    <row r="34" spans="2:10" x14ac:dyDescent="0.3">
      <c r="B34" s="11"/>
      <c r="C34" s="2" t="s">
        <v>205</v>
      </c>
      <c r="D34" s="50">
        <v>9000</v>
      </c>
      <c r="E34" s="60">
        <v>9000</v>
      </c>
      <c r="F34" s="60">
        <v>9000</v>
      </c>
      <c r="G34" s="60"/>
      <c r="H34" s="60"/>
      <c r="I34" s="75"/>
      <c r="J34" s="136">
        <v>10000</v>
      </c>
    </row>
    <row r="35" spans="2:10" x14ac:dyDescent="0.3">
      <c r="B35" s="11"/>
      <c r="C35" s="2" t="s">
        <v>172</v>
      </c>
      <c r="D35" s="50"/>
      <c r="E35" s="60"/>
      <c r="F35" s="60">
        <v>6203.35</v>
      </c>
      <c r="G35" s="60"/>
      <c r="H35" s="60"/>
      <c r="I35" s="75"/>
      <c r="J35" s="136"/>
    </row>
    <row r="36" spans="2:10" x14ac:dyDescent="0.3">
      <c r="B36" s="11"/>
      <c r="C36" s="2" t="s">
        <v>212</v>
      </c>
      <c r="D36" s="50"/>
      <c r="E36" s="60"/>
      <c r="F36" s="60"/>
      <c r="G36" s="60"/>
      <c r="H36" s="60"/>
      <c r="I36" s="75"/>
      <c r="J36" s="136"/>
    </row>
    <row r="37" spans="2:10" x14ac:dyDescent="0.3">
      <c r="B37" s="257" t="s">
        <v>147</v>
      </c>
      <c r="C37" s="258"/>
      <c r="D37" s="50"/>
      <c r="E37" s="60"/>
      <c r="F37" s="60"/>
      <c r="G37" s="60"/>
      <c r="H37" s="60"/>
      <c r="I37" s="75"/>
      <c r="J37" s="136"/>
    </row>
    <row r="38" spans="2:10" x14ac:dyDescent="0.3">
      <c r="B38" s="11"/>
      <c r="C38" s="2" t="s">
        <v>111</v>
      </c>
      <c r="D38" s="100"/>
      <c r="E38" s="99"/>
      <c r="F38" s="99"/>
      <c r="G38" s="99"/>
      <c r="H38" s="99"/>
      <c r="I38" s="107"/>
      <c r="J38" s="145"/>
    </row>
    <row r="39" spans="2:10" x14ac:dyDescent="0.3">
      <c r="B39" s="11"/>
      <c r="C39" s="2" t="s">
        <v>97</v>
      </c>
      <c r="D39" s="51"/>
      <c r="E39" s="62"/>
      <c r="F39" s="62"/>
      <c r="G39" s="62"/>
      <c r="H39" s="62"/>
      <c r="I39" s="108"/>
      <c r="J39" s="146"/>
    </row>
    <row r="40" spans="2:10" x14ac:dyDescent="0.3">
      <c r="B40" s="11"/>
      <c r="C40" s="2"/>
      <c r="D40" s="50"/>
      <c r="E40" s="60"/>
      <c r="F40" s="60"/>
      <c r="G40" s="60"/>
      <c r="H40" s="60"/>
      <c r="I40" s="75"/>
      <c r="J40" s="136"/>
    </row>
    <row r="41" spans="2:10" x14ac:dyDescent="0.3">
      <c r="B41" s="37" t="s">
        <v>149</v>
      </c>
      <c r="C41" s="38"/>
      <c r="D41" s="52">
        <f t="shared" ref="D41:J41" si="3">SUM(D14:D40)</f>
        <v>145406</v>
      </c>
      <c r="E41" s="56">
        <f t="shared" si="3"/>
        <v>192467</v>
      </c>
      <c r="F41" s="56">
        <f t="shared" si="3"/>
        <v>72681.350000000006</v>
      </c>
      <c r="G41" s="56">
        <f>SUM(G14:G40)</f>
        <v>90933</v>
      </c>
      <c r="H41" s="56">
        <f>SUM(H14:H40)</f>
        <v>94000</v>
      </c>
      <c r="I41" s="71">
        <f t="shared" ref="I41" si="4">SUM(I14:I40)</f>
        <v>75957</v>
      </c>
      <c r="J41" s="118">
        <f t="shared" si="3"/>
        <v>75957</v>
      </c>
    </row>
    <row r="43" spans="2:10" x14ac:dyDescent="0.3">
      <c r="B43" s="23" t="s">
        <v>37</v>
      </c>
      <c r="C43" s="24"/>
      <c r="D43" s="52">
        <f t="shared" ref="D43:J43" si="5">+D10-D41</f>
        <v>-145406</v>
      </c>
      <c r="E43" s="56">
        <f t="shared" si="5"/>
        <v>-192467</v>
      </c>
      <c r="F43" s="56">
        <f t="shared" si="5"/>
        <v>-72681.350000000006</v>
      </c>
      <c r="G43" s="56">
        <f>G10-G41</f>
        <v>-90933</v>
      </c>
      <c r="H43" s="56">
        <f>H10-H41</f>
        <v>-94000</v>
      </c>
      <c r="I43" s="71">
        <f t="shared" ref="I43" si="6">+I10-I41</f>
        <v>-75957</v>
      </c>
      <c r="J43" s="118">
        <f t="shared" si="5"/>
        <v>-75957</v>
      </c>
    </row>
  </sheetData>
  <mergeCells count="8">
    <mergeCell ref="B12:C12"/>
    <mergeCell ref="B37:C37"/>
    <mergeCell ref="B2:J2"/>
    <mergeCell ref="B3:J3"/>
    <mergeCell ref="B4:J4"/>
    <mergeCell ref="B5:J5"/>
    <mergeCell ref="B6:C6"/>
    <mergeCell ref="B11:J11"/>
  </mergeCells>
  <pageMargins left="0.7" right="0.7" top="0.75" bottom="0.75" header="0.3" footer="0.3"/>
  <pageSetup paperSize="9" scale="8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01F7-E3DB-41E8-BFA3-9DAE6F51F280}">
  <sheetPr codeName="Sheet2">
    <pageSetUpPr fitToPage="1"/>
  </sheetPr>
  <dimension ref="B2:N51"/>
  <sheetViews>
    <sheetView topLeftCell="A13" workbookViewId="0">
      <selection sqref="A1:K47"/>
    </sheetView>
  </sheetViews>
  <sheetFormatPr defaultRowHeight="14.4" x14ac:dyDescent="0.3"/>
  <cols>
    <col min="1" max="1" width="2.109375" customWidth="1"/>
    <col min="2" max="2" width="2" customWidth="1"/>
    <col min="3" max="3" width="27.44140625" customWidth="1"/>
    <col min="4" max="9" width="11.6640625" customWidth="1"/>
    <col min="10" max="10" width="12.5546875" customWidth="1"/>
    <col min="11" max="11" width="2.33203125" customWidth="1"/>
    <col min="12" max="12" width="2" customWidth="1"/>
    <col min="14" max="14" width="9.33203125" bestFit="1" customWidth="1"/>
  </cols>
  <sheetData>
    <row r="2" spans="2:10" ht="18" x14ac:dyDescent="0.35">
      <c r="B2" s="234" t="s">
        <v>1</v>
      </c>
      <c r="C2" s="235"/>
      <c r="D2" s="235"/>
      <c r="E2" s="235"/>
      <c r="F2" s="235"/>
      <c r="G2" s="235"/>
      <c r="H2" s="235"/>
      <c r="I2" s="235"/>
      <c r="J2" s="236"/>
    </row>
    <row r="3" spans="2:10" ht="18" x14ac:dyDescent="0.35">
      <c r="B3" s="237" t="s">
        <v>148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214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14" t="s">
        <v>94</v>
      </c>
      <c r="C6" s="2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customHeight="1" x14ac:dyDescent="0.3">
      <c r="B7" s="4"/>
      <c r="C7" s="5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1"/>
      <c r="C8" s="5"/>
      <c r="D8" s="29" t="s">
        <v>12</v>
      </c>
      <c r="E8" s="122" t="s">
        <v>12</v>
      </c>
      <c r="F8" s="29" t="s">
        <v>12</v>
      </c>
      <c r="G8" s="29" t="s">
        <v>12</v>
      </c>
      <c r="H8" s="29" t="s">
        <v>12</v>
      </c>
      <c r="I8" s="74" t="s">
        <v>12</v>
      </c>
      <c r="J8" s="128" t="s">
        <v>12</v>
      </c>
    </row>
    <row r="9" spans="2:10" x14ac:dyDescent="0.3">
      <c r="B9" s="1"/>
      <c r="C9" s="2" t="s">
        <v>243</v>
      </c>
      <c r="D9" s="65">
        <f>'Personnel &amp; Finance'!D11</f>
        <v>78142.27</v>
      </c>
      <c r="E9" s="55">
        <f>'Personnel &amp; Finance'!E11</f>
        <v>78995</v>
      </c>
      <c r="F9" s="65">
        <f>'Personnel &amp; Finance'!F11</f>
        <v>65867.290000000008</v>
      </c>
      <c r="G9" s="65">
        <f>'Personnel &amp; Finance'!G11</f>
        <v>55631</v>
      </c>
      <c r="H9" s="65">
        <f>'Personnel &amp; Finance'!H11</f>
        <v>96029</v>
      </c>
      <c r="I9" s="147">
        <f>'Personnel &amp; Finance'!I11</f>
        <v>81885</v>
      </c>
      <c r="J9" s="123">
        <f>'Personnel &amp; Finance'!J11</f>
        <v>91868.76</v>
      </c>
    </row>
    <row r="10" spans="2:10" x14ac:dyDescent="0.3">
      <c r="B10" s="1"/>
      <c r="C10" s="2" t="s">
        <v>242</v>
      </c>
      <c r="D10" s="65">
        <f>'Venues &amp; Markets'!D20</f>
        <v>120484.99</v>
      </c>
      <c r="E10" s="55">
        <f>'Venues &amp; Markets'!E20</f>
        <v>118498</v>
      </c>
      <c r="F10" s="65">
        <f>'Venues &amp; Markets'!F20</f>
        <v>19384.900000000001</v>
      </c>
      <c r="G10" s="65">
        <f>'Venues &amp; Markets'!G20</f>
        <v>82099</v>
      </c>
      <c r="H10" s="65">
        <f>'Venues &amp; Markets'!H20</f>
        <v>133004</v>
      </c>
      <c r="I10" s="147">
        <f>'Venues &amp; Markets'!I20</f>
        <v>112071</v>
      </c>
      <c r="J10" s="123">
        <f>'Venues &amp; Markets'!J20</f>
        <v>56925</v>
      </c>
    </row>
    <row r="11" spans="2:10" x14ac:dyDescent="0.3">
      <c r="B11" s="1"/>
      <c r="C11" s="2" t="s">
        <v>244</v>
      </c>
      <c r="D11" s="65">
        <f>'Heritage Events'!D12</f>
        <v>1623.82</v>
      </c>
      <c r="E11" s="55">
        <f>'Heritage Events'!E12</f>
        <v>0</v>
      </c>
      <c r="F11" s="65">
        <f>'Heritage Events'!F12</f>
        <v>125</v>
      </c>
      <c r="G11" s="65">
        <f>'Heritage Events'!G12</f>
        <v>2225</v>
      </c>
      <c r="H11" s="65">
        <f>'Heritage Events'!H12</f>
        <v>1052</v>
      </c>
      <c r="I11" s="147">
        <f>'Heritage Events'!I12</f>
        <v>0</v>
      </c>
      <c r="J11" s="123">
        <f>'Heritage Events'!J12</f>
        <v>4000</v>
      </c>
    </row>
    <row r="12" spans="2:10" x14ac:dyDescent="0.3">
      <c r="B12" s="1"/>
      <c r="C12" s="2" t="s">
        <v>169</v>
      </c>
      <c r="D12" s="65">
        <f>Amenities!D17</f>
        <v>74617.010000000009</v>
      </c>
      <c r="E12" s="55">
        <f>Amenities!E17</f>
        <v>82325</v>
      </c>
      <c r="F12" s="65">
        <f>Amenities!F17</f>
        <v>41677.303000000007</v>
      </c>
      <c r="G12" s="65">
        <f>Amenities!G17</f>
        <v>38518</v>
      </c>
      <c r="H12" s="65"/>
      <c r="I12" s="147">
        <f>Amenities!I17</f>
        <v>30294</v>
      </c>
      <c r="J12" s="123">
        <f>Amenities!J17</f>
        <v>16500</v>
      </c>
    </row>
    <row r="13" spans="2:10" x14ac:dyDescent="0.3">
      <c r="B13" s="1"/>
      <c r="C13" s="2" t="s">
        <v>83</v>
      </c>
      <c r="D13" s="65">
        <f>Cemetery!D17</f>
        <v>50399</v>
      </c>
      <c r="E13" s="55">
        <f>Cemetery!E17</f>
        <v>50614</v>
      </c>
      <c r="F13" s="65">
        <f>Cemetery!F17</f>
        <v>47940</v>
      </c>
      <c r="G13" s="65">
        <f>Cemetery!G17</f>
        <v>49509</v>
      </c>
      <c r="H13" s="65">
        <f>Cemetery!H17</f>
        <v>48869</v>
      </c>
      <c r="I13" s="147">
        <f>Cemetery!I17</f>
        <v>28633</v>
      </c>
      <c r="J13" s="123">
        <f>Cemetery!J17</f>
        <v>35190</v>
      </c>
    </row>
    <row r="14" spans="2:10" x14ac:dyDescent="0.3">
      <c r="B14" s="1"/>
      <c r="C14" s="2" t="s">
        <v>84</v>
      </c>
      <c r="D14" s="65">
        <f>Allotments!D12</f>
        <v>7407.75</v>
      </c>
      <c r="E14" s="55">
        <f>Allotments!E12</f>
        <v>12201</v>
      </c>
      <c r="F14" s="65">
        <v>8129</v>
      </c>
      <c r="G14" s="65">
        <f>Allotments!G12</f>
        <v>11214</v>
      </c>
      <c r="H14" s="65">
        <f>Allotments!H12</f>
        <v>10772</v>
      </c>
      <c r="I14" s="147">
        <f>Allotments!I12</f>
        <v>11121</v>
      </c>
      <c r="J14" s="123">
        <f>Allotments!J12</f>
        <v>12272</v>
      </c>
    </row>
    <row r="15" spans="2:10" x14ac:dyDescent="0.3">
      <c r="B15" s="1"/>
      <c r="C15" s="2" t="s">
        <v>107</v>
      </c>
      <c r="D15" s="65">
        <f>'Rates Precept and Other'!D9</f>
        <v>759192</v>
      </c>
      <c r="E15" s="55">
        <f>'Rates Precept and Other'!E9</f>
        <v>767015</v>
      </c>
      <c r="F15" s="65">
        <f>'Rates Precept and Other'!F9</f>
        <v>810124</v>
      </c>
      <c r="G15" s="65">
        <f>'Rates Precept and Other'!G9</f>
        <v>808866</v>
      </c>
      <c r="H15" s="65">
        <f>'Rates Precept and Other'!H10</f>
        <v>833239</v>
      </c>
      <c r="I15" s="147">
        <f>'Rates Precept and Other'!I10</f>
        <v>1024065</v>
      </c>
      <c r="J15" s="123">
        <f>'Rates Precept and Other'!J9</f>
        <v>1122583</v>
      </c>
    </row>
    <row r="16" spans="2:10" x14ac:dyDescent="0.3">
      <c r="B16" s="1"/>
      <c r="C16" s="2" t="s">
        <v>85</v>
      </c>
      <c r="D16" s="65">
        <f>'Rates Precept and Other'!D22</f>
        <v>249790.21999999997</v>
      </c>
      <c r="E16" s="55">
        <f>'Rates Precept and Other'!E22</f>
        <v>70057</v>
      </c>
      <c r="F16" s="65">
        <v>35089</v>
      </c>
      <c r="G16" s="65">
        <f>'Rates Precept and Other'!G22</f>
        <v>51146</v>
      </c>
      <c r="H16" s="65">
        <f>'Rates Precept and Other'!H22</f>
        <v>217140</v>
      </c>
      <c r="I16" s="147">
        <f>'Rates Precept and Other'!I22</f>
        <v>108398</v>
      </c>
      <c r="J16" s="123">
        <f>'Rates Precept and Other'!J22</f>
        <v>35545</v>
      </c>
    </row>
    <row r="17" spans="2:10" x14ac:dyDescent="0.3">
      <c r="B17" s="1"/>
      <c r="C17" s="2" t="s">
        <v>178</v>
      </c>
      <c r="D17" s="65">
        <v>27086</v>
      </c>
      <c r="E17" s="55"/>
      <c r="F17" s="65"/>
      <c r="G17" s="65"/>
      <c r="H17" s="65"/>
      <c r="I17" s="147"/>
      <c r="J17" s="123"/>
    </row>
    <row r="18" spans="2:10" x14ac:dyDescent="0.3">
      <c r="B18" s="11"/>
      <c r="C18" s="2"/>
      <c r="D18" s="66"/>
      <c r="E18" s="55"/>
      <c r="F18" s="65"/>
      <c r="G18" s="65"/>
      <c r="H18" s="65"/>
      <c r="I18" s="148"/>
      <c r="J18" s="175"/>
    </row>
    <row r="19" spans="2:10" x14ac:dyDescent="0.3">
      <c r="B19" s="12" t="s">
        <v>14</v>
      </c>
      <c r="C19" s="13"/>
      <c r="D19" s="56">
        <f t="shared" ref="D19:J19" si="0">SUM(D9:D18)</f>
        <v>1368743.06</v>
      </c>
      <c r="E19" s="56">
        <f t="shared" si="0"/>
        <v>1179705</v>
      </c>
      <c r="F19" s="56">
        <f t="shared" si="0"/>
        <v>1028336.493</v>
      </c>
      <c r="G19" s="56">
        <f t="shared" si="0"/>
        <v>1099208</v>
      </c>
      <c r="H19" s="56">
        <f t="shared" si="0"/>
        <v>1340105</v>
      </c>
      <c r="I19" s="71">
        <f t="shared" ref="I19" si="1">SUM(I9:I18)</f>
        <v>1396467</v>
      </c>
      <c r="J19" s="118">
        <f t="shared" si="0"/>
        <v>1374883.76</v>
      </c>
    </row>
    <row r="20" spans="2:10" ht="15.6" x14ac:dyDescent="0.3">
      <c r="B20" s="231" t="s">
        <v>15</v>
      </c>
      <c r="C20" s="232"/>
      <c r="D20" s="232"/>
      <c r="E20" s="232"/>
      <c r="F20" s="232"/>
      <c r="G20" s="232"/>
      <c r="H20" s="232"/>
      <c r="I20" s="232"/>
      <c r="J20" s="233"/>
    </row>
    <row r="21" spans="2:10" x14ac:dyDescent="0.3">
      <c r="B21" s="14" t="str">
        <f>+B6</f>
        <v>All Departments</v>
      </c>
      <c r="C21" s="15"/>
      <c r="D21" s="16" t="s">
        <v>3</v>
      </c>
      <c r="E21" s="16" t="s">
        <v>4</v>
      </c>
      <c r="F21" s="16" t="s">
        <v>5</v>
      </c>
      <c r="G21" s="16" t="s">
        <v>6</v>
      </c>
      <c r="H21" s="16" t="s">
        <v>7</v>
      </c>
      <c r="I21" s="68" t="s">
        <v>199</v>
      </c>
      <c r="J21" s="131" t="s">
        <v>199</v>
      </c>
    </row>
    <row r="22" spans="2:10" ht="28.8" x14ac:dyDescent="0.3">
      <c r="B22" s="17"/>
      <c r="C22" s="18" t="str">
        <f>+C7</f>
        <v>NAME</v>
      </c>
      <c r="D22" s="83" t="s">
        <v>10</v>
      </c>
      <c r="E22" s="83" t="s">
        <v>10</v>
      </c>
      <c r="F22" s="83" t="s">
        <v>10</v>
      </c>
      <c r="G22" s="83" t="s">
        <v>10</v>
      </c>
      <c r="H22" s="83" t="s">
        <v>10</v>
      </c>
      <c r="I22" s="173" t="s">
        <v>181</v>
      </c>
      <c r="J22" s="174" t="s">
        <v>200</v>
      </c>
    </row>
    <row r="23" spans="2:10" x14ac:dyDescent="0.3">
      <c r="B23" s="19"/>
      <c r="C23" s="20"/>
      <c r="D23" s="16" t="s">
        <v>12</v>
      </c>
      <c r="E23" s="16" t="s">
        <v>12</v>
      </c>
      <c r="F23" s="84" t="str">
        <f t="shared" ref="F23:J23" si="2">+F8</f>
        <v>£</v>
      </c>
      <c r="G23" s="84" t="s">
        <v>12</v>
      </c>
      <c r="H23" s="29" t="s">
        <v>12</v>
      </c>
      <c r="I23" s="72" t="str">
        <f t="shared" ref="I23" si="3">+I8</f>
        <v>£</v>
      </c>
      <c r="J23" s="176" t="str">
        <f t="shared" si="2"/>
        <v>£</v>
      </c>
    </row>
    <row r="24" spans="2:10" x14ac:dyDescent="0.3">
      <c r="B24" s="8"/>
      <c r="C24" s="2" t="s">
        <v>243</v>
      </c>
      <c r="D24" s="65">
        <f>'Personnel &amp; Finance'!D51</f>
        <v>1187258.1100000001</v>
      </c>
      <c r="E24" s="65">
        <f>'Personnel &amp; Finance'!E51</f>
        <v>1158606</v>
      </c>
      <c r="F24" s="58">
        <v>720902</v>
      </c>
      <c r="G24" s="58">
        <f>'Personnel &amp; Finance'!G51</f>
        <v>1201537</v>
      </c>
      <c r="H24" s="58">
        <f>'Personnel &amp; Finance'!H51</f>
        <v>782478</v>
      </c>
      <c r="I24" s="70">
        <f>'Personnel &amp; Finance'!I51</f>
        <v>887026</v>
      </c>
      <c r="J24" s="116">
        <f>'Personnel &amp; Finance'!J51</f>
        <v>968993.85166086908</v>
      </c>
    </row>
    <row r="25" spans="2:10" x14ac:dyDescent="0.3">
      <c r="B25" s="8"/>
      <c r="C25" s="2" t="s">
        <v>242</v>
      </c>
      <c r="D25" s="65">
        <f>'Venues &amp; Markets'!D43</f>
        <v>84495.750000000015</v>
      </c>
      <c r="E25" s="65">
        <f>'Venues &amp; Markets'!E43</f>
        <v>60631</v>
      </c>
      <c r="F25" s="58">
        <f>'Venues &amp; Markets'!F43-1</f>
        <v>9871.5499999999993</v>
      </c>
      <c r="G25" s="58">
        <f>'Venues &amp; Markets'!G43</f>
        <v>55780</v>
      </c>
      <c r="H25" s="58">
        <f>'Venues &amp; Markets'!H43</f>
        <v>83261</v>
      </c>
      <c r="I25" s="70">
        <f>'Venues &amp; Markets'!I43</f>
        <v>62658</v>
      </c>
      <c r="J25" s="116">
        <f>'Venues &amp; Markets'!J43</f>
        <v>28695</v>
      </c>
    </row>
    <row r="26" spans="2:10" x14ac:dyDescent="0.3">
      <c r="B26" s="11"/>
      <c r="C26" s="2" t="s">
        <v>244</v>
      </c>
      <c r="D26" s="65">
        <f>'Heritage Events'!D40</f>
        <v>13421.43</v>
      </c>
      <c r="E26" s="65">
        <f>'Heritage Events'!E40</f>
        <v>8531</v>
      </c>
      <c r="F26" s="58">
        <f>'Heritage Events'!F40</f>
        <v>910.31</v>
      </c>
      <c r="G26" s="58">
        <f>'Heritage Events'!G40</f>
        <v>4748</v>
      </c>
      <c r="H26" s="58">
        <f>'Heritage Events'!H40</f>
        <v>35142</v>
      </c>
      <c r="I26" s="70">
        <f>'Heritage Events'!I40</f>
        <v>39319</v>
      </c>
      <c r="J26" s="116">
        <f>'Heritage Events'!J40</f>
        <v>45151</v>
      </c>
    </row>
    <row r="27" spans="2:10" x14ac:dyDescent="0.3">
      <c r="B27" s="8"/>
      <c r="C27" s="2" t="s">
        <v>169</v>
      </c>
      <c r="D27" s="65">
        <f>Amenities!D58</f>
        <v>195083.37999999998</v>
      </c>
      <c r="E27" s="65">
        <f>Amenities!E58</f>
        <v>144576</v>
      </c>
      <c r="F27" s="58">
        <f>Amenities!F58</f>
        <v>146689.60999999999</v>
      </c>
      <c r="G27" s="58">
        <f>Amenities!G58</f>
        <v>114838</v>
      </c>
      <c r="H27" s="58"/>
      <c r="I27" s="70">
        <f>Amenities!I58</f>
        <v>197189</v>
      </c>
      <c r="J27" s="116">
        <f>Amenities!J58</f>
        <v>183144.14224015045</v>
      </c>
    </row>
    <row r="28" spans="2:10" x14ac:dyDescent="0.3">
      <c r="B28" s="8"/>
      <c r="C28" s="2" t="s">
        <v>83</v>
      </c>
      <c r="D28" s="65">
        <f>Cemetery!D32</f>
        <v>52468.04</v>
      </c>
      <c r="E28" s="65">
        <f>Cemetery!E32</f>
        <v>34169</v>
      </c>
      <c r="F28" s="58">
        <f>Cemetery!F32</f>
        <v>22483.96</v>
      </c>
      <c r="G28" s="58">
        <f>Cemetery!G32</f>
        <v>22666</v>
      </c>
      <c r="H28" s="58">
        <f>Cemetery!H32</f>
        <v>18850</v>
      </c>
      <c r="I28" s="70">
        <f>Cemetery!I32</f>
        <v>21408</v>
      </c>
      <c r="J28" s="116">
        <f>Cemetery!J32</f>
        <v>23532.857759849539</v>
      </c>
    </row>
    <row r="29" spans="2:10" x14ac:dyDescent="0.3">
      <c r="B29" s="8"/>
      <c r="C29" s="2" t="s">
        <v>84</v>
      </c>
      <c r="D29" s="65">
        <f>Allotments!D32</f>
        <v>13902.21</v>
      </c>
      <c r="E29" s="65">
        <f>Allotments!E32</f>
        <v>6959</v>
      </c>
      <c r="F29" s="65">
        <v>7388</v>
      </c>
      <c r="G29" s="65">
        <f>Allotments!G32</f>
        <v>4879</v>
      </c>
      <c r="H29" s="65">
        <f>Allotments!H32</f>
        <v>2459</v>
      </c>
      <c r="I29" s="147">
        <f>Allotments!I32</f>
        <v>6047</v>
      </c>
      <c r="J29" s="123">
        <f>Allotments!J32</f>
        <v>10410</v>
      </c>
    </row>
    <row r="30" spans="2:10" x14ac:dyDescent="0.3">
      <c r="B30" s="8"/>
      <c r="C30" s="2" t="s">
        <v>85</v>
      </c>
      <c r="D30" s="65">
        <f>'Rates Precept and Other'!D32</f>
        <v>133239.44</v>
      </c>
      <c r="E30" s="65">
        <v>4165</v>
      </c>
      <c r="F30" s="58">
        <f>'Rates Precept and Other'!F32+1</f>
        <v>26253.27</v>
      </c>
      <c r="G30" s="58">
        <f>'Rates Precept and Other'!G32+1</f>
        <v>427</v>
      </c>
      <c r="H30" s="58">
        <f>'Rates Precept and Other'!H32</f>
        <v>199231</v>
      </c>
      <c r="I30" s="70">
        <f>'Rates Precept and Other'!I32</f>
        <v>74349</v>
      </c>
      <c r="J30" s="116">
        <f>'Rates Precept and Other'!J32</f>
        <v>36500</v>
      </c>
    </row>
    <row r="31" spans="2:10" x14ac:dyDescent="0.3">
      <c r="B31" s="8"/>
      <c r="C31" s="2" t="s">
        <v>137</v>
      </c>
      <c r="D31" s="65">
        <f>'Contributions to Reserves'!D41</f>
        <v>145406</v>
      </c>
      <c r="E31" s="65">
        <f>'Contributions to Reserves'!E41</f>
        <v>192467</v>
      </c>
      <c r="F31" s="58">
        <v>106670</v>
      </c>
      <c r="G31" s="58">
        <f>'Contributions to Reserves'!G41</f>
        <v>90933</v>
      </c>
      <c r="H31" s="58"/>
      <c r="I31" s="70">
        <f>'Contributions to Reserves'!I41</f>
        <v>75957</v>
      </c>
      <c r="J31" s="116">
        <f>'Contributions to Reserves'!J41</f>
        <v>75957</v>
      </c>
    </row>
    <row r="32" spans="2:10" x14ac:dyDescent="0.3">
      <c r="B32" s="8"/>
      <c r="C32" s="2" t="s">
        <v>186</v>
      </c>
      <c r="D32" s="65"/>
      <c r="E32" s="65"/>
      <c r="F32" s="58"/>
      <c r="G32" s="58">
        <v>80000</v>
      </c>
      <c r="H32" s="58"/>
      <c r="I32" s="70"/>
      <c r="J32" s="116"/>
    </row>
    <row r="33" spans="2:14" x14ac:dyDescent="0.3">
      <c r="B33" s="8"/>
      <c r="C33" s="9"/>
      <c r="D33" s="85"/>
      <c r="E33" s="85"/>
      <c r="F33" s="21"/>
      <c r="G33" s="21"/>
      <c r="H33" s="21"/>
      <c r="I33" s="73"/>
      <c r="J33" s="125"/>
    </row>
    <row r="34" spans="2:14" x14ac:dyDescent="0.3">
      <c r="B34" s="14" t="s">
        <v>14</v>
      </c>
      <c r="C34" s="109"/>
      <c r="D34" s="110">
        <f>SUM(D24:D33)</f>
        <v>1825274.3599999999</v>
      </c>
      <c r="E34" s="110">
        <f t="shared" ref="E34:F34" si="4">SUM(E24:E33)</f>
        <v>1610104</v>
      </c>
      <c r="F34" s="110">
        <f t="shared" si="4"/>
        <v>1041168.7000000001</v>
      </c>
      <c r="G34" s="110">
        <f>SUM(G24:G33)</f>
        <v>1575808</v>
      </c>
      <c r="H34" s="110">
        <f>SUM(H24:H33)</f>
        <v>1121421</v>
      </c>
      <c r="I34" s="111">
        <f>SUM(I24:I33)</f>
        <v>1363953</v>
      </c>
      <c r="J34" s="149">
        <f>SUM(J24:J33)</f>
        <v>1372383.8516608691</v>
      </c>
    </row>
    <row r="35" spans="2:14" x14ac:dyDescent="0.3">
      <c r="B35" s="105"/>
      <c r="C35" s="106"/>
      <c r="D35" s="106"/>
      <c r="E35" s="106"/>
      <c r="F35" s="106"/>
      <c r="G35" s="106"/>
      <c r="H35" s="106"/>
      <c r="I35" s="106"/>
      <c r="J35" s="106"/>
    </row>
    <row r="36" spans="2:14" x14ac:dyDescent="0.3">
      <c r="B36" s="229" t="s">
        <v>150</v>
      </c>
      <c r="C36" s="230"/>
      <c r="D36" s="164">
        <f>+D19-D34</f>
        <v>-456531.29999999981</v>
      </c>
      <c r="E36" s="164">
        <f>E19-E34</f>
        <v>-430399</v>
      </c>
      <c r="F36" s="164">
        <f>F19-F34</f>
        <v>-12832.207000000053</v>
      </c>
      <c r="G36" s="164">
        <f>G19-G34</f>
        <v>-476600</v>
      </c>
      <c r="H36" s="164">
        <f>H19-H34</f>
        <v>218684</v>
      </c>
      <c r="I36" s="166">
        <f>ROUND(+I19-I34,0)</f>
        <v>32514</v>
      </c>
      <c r="J36" s="165">
        <f>ROUND(+J19-J34,0)</f>
        <v>2500</v>
      </c>
    </row>
    <row r="37" spans="2:14" x14ac:dyDescent="0.3">
      <c r="B37" s="104"/>
      <c r="C37" s="45"/>
      <c r="D37" s="167"/>
      <c r="E37" s="167"/>
      <c r="F37" s="167"/>
      <c r="G37" s="167"/>
      <c r="H37" s="167"/>
      <c r="I37" s="167"/>
      <c r="J37" s="168"/>
    </row>
    <row r="38" spans="2:14" x14ac:dyDescent="0.3">
      <c r="B38" s="12" t="s">
        <v>151</v>
      </c>
      <c r="C38" s="22"/>
      <c r="D38" s="169">
        <v>14218</v>
      </c>
      <c r="E38" s="169">
        <v>55497</v>
      </c>
      <c r="F38" s="169">
        <v>-31773</v>
      </c>
      <c r="G38" s="169">
        <v>6710</v>
      </c>
      <c r="H38" s="169">
        <v>4804</v>
      </c>
      <c r="I38" s="171">
        <f>I36</f>
        <v>32514</v>
      </c>
      <c r="J38" s="170">
        <f>J36</f>
        <v>2500</v>
      </c>
    </row>
    <row r="39" spans="2:14" x14ac:dyDescent="0.3">
      <c r="B39" s="112"/>
      <c r="D39" s="172"/>
      <c r="E39" s="189"/>
      <c r="F39" s="189"/>
      <c r="G39" s="189"/>
      <c r="H39" s="189"/>
      <c r="I39" s="190"/>
      <c r="J39" s="190"/>
    </row>
    <row r="40" spans="2:14" x14ac:dyDescent="0.3">
      <c r="C40" s="186" t="s">
        <v>211</v>
      </c>
      <c r="D40" s="186">
        <v>4.75</v>
      </c>
      <c r="E40" s="191">
        <f t="shared" ref="E40:G40" si="5">(E15-D15)/D15*100</f>
        <v>1.0304376231572514</v>
      </c>
      <c r="F40" s="191">
        <f t="shared" si="5"/>
        <v>5.6203594453824239</v>
      </c>
      <c r="G40" s="191">
        <f t="shared" si="5"/>
        <v>-0.15528486997052304</v>
      </c>
      <c r="H40" s="191">
        <f>(H15-F15)/F15*100</f>
        <v>2.8532669072882668</v>
      </c>
      <c r="I40" s="191">
        <f>(I15-G15)/G15*100</f>
        <v>26.6050248125153</v>
      </c>
      <c r="J40" s="191">
        <f>(J15-I15)/I15*100</f>
        <v>9.6202877747018007</v>
      </c>
    </row>
    <row r="41" spans="2:14" x14ac:dyDescent="0.3">
      <c r="J41" s="63"/>
    </row>
    <row r="42" spans="2:14" x14ac:dyDescent="0.3">
      <c r="C42" s="186" t="s">
        <v>207</v>
      </c>
      <c r="D42" s="191">
        <v>6326.3</v>
      </c>
      <c r="E42" s="191">
        <v>6391.5</v>
      </c>
      <c r="F42" s="191">
        <v>6464.2</v>
      </c>
      <c r="G42" s="191">
        <v>6454.4</v>
      </c>
      <c r="H42" s="191">
        <v>6466.3</v>
      </c>
      <c r="I42" s="191">
        <v>6622.6</v>
      </c>
      <c r="J42" s="191">
        <v>6660.6</v>
      </c>
      <c r="N42" s="130"/>
    </row>
    <row r="43" spans="2:14" x14ac:dyDescent="0.3">
      <c r="C43" s="186"/>
      <c r="J43" s="63"/>
    </row>
    <row r="44" spans="2:14" x14ac:dyDescent="0.3">
      <c r="C44" s="186" t="s">
        <v>210</v>
      </c>
      <c r="D44" s="186">
        <v>120.01</v>
      </c>
      <c r="E44" s="186">
        <v>120.01</v>
      </c>
      <c r="F44" s="186">
        <v>125.32</v>
      </c>
      <c r="G44" s="186">
        <v>125.32</v>
      </c>
      <c r="H44" s="186">
        <v>128.86000000000001</v>
      </c>
      <c r="I44" s="223">
        <f>I15/I42</f>
        <v>154.63186663848035</v>
      </c>
      <c r="J44" s="191">
        <f>J15/J42</f>
        <v>168.5408221481548</v>
      </c>
      <c r="N44" s="130"/>
    </row>
    <row r="45" spans="2:14" x14ac:dyDescent="0.3">
      <c r="C45" s="186"/>
      <c r="D45" s="186"/>
      <c r="E45" s="186"/>
      <c r="F45" s="186"/>
      <c r="G45" s="186"/>
      <c r="H45" s="186"/>
      <c r="I45" s="186"/>
      <c r="J45" s="187"/>
    </row>
    <row r="46" spans="2:14" x14ac:dyDescent="0.3">
      <c r="C46" s="186" t="s">
        <v>209</v>
      </c>
      <c r="D46" s="186">
        <v>3.37</v>
      </c>
      <c r="E46" s="186">
        <v>0</v>
      </c>
      <c r="F46" s="186">
        <v>4.42</v>
      </c>
      <c r="G46" s="186">
        <v>0</v>
      </c>
      <c r="H46" s="186">
        <v>2.82</v>
      </c>
      <c r="I46" s="191">
        <f>(I44-H44)/H44*100</f>
        <v>19.999896506658647</v>
      </c>
      <c r="J46" s="191">
        <f>(J44-I44)/I44*100</f>
        <v>8.9948830160556277</v>
      </c>
    </row>
    <row r="49" spans="9:10" x14ac:dyDescent="0.3">
      <c r="I49" s="130"/>
      <c r="J49" s="130"/>
    </row>
    <row r="51" spans="9:10" x14ac:dyDescent="0.3">
      <c r="J51" s="130"/>
    </row>
  </sheetData>
  <mergeCells count="6">
    <mergeCell ref="B36:C36"/>
    <mergeCell ref="B20:J20"/>
    <mergeCell ref="B2:J2"/>
    <mergeCell ref="B3:J3"/>
    <mergeCell ref="B4:J4"/>
    <mergeCell ref="B5:J5"/>
  </mergeCells>
  <pageMargins left="0.7" right="0.7" top="0.75" bottom="0.75" header="0.3" footer="0.3"/>
  <pageSetup paperSize="9"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DB31-1D6B-4121-9C51-2B51A7C56ACB}">
  <sheetPr codeName="Sheet3">
    <pageSetUpPr fitToPage="1"/>
  </sheetPr>
  <dimension ref="B2:J54"/>
  <sheetViews>
    <sheetView topLeftCell="A29" workbookViewId="0">
      <selection activeCell="J32" sqref="J32"/>
    </sheetView>
  </sheetViews>
  <sheetFormatPr defaultRowHeight="14.4" x14ac:dyDescent="0.3"/>
  <cols>
    <col min="1" max="1" width="2.33203125" customWidth="1"/>
    <col min="2" max="2" width="7.109375" customWidth="1"/>
    <col min="3" max="3" width="27" customWidth="1"/>
    <col min="4" max="10" width="10.6640625" customWidth="1"/>
    <col min="11" max="11" width="2.44140625" customWidth="1"/>
  </cols>
  <sheetData>
    <row r="2" spans="2:10" ht="18" x14ac:dyDescent="0.35">
      <c r="B2" s="234" t="s">
        <v>1</v>
      </c>
      <c r="C2" s="235"/>
      <c r="D2" s="235"/>
      <c r="E2" s="235"/>
      <c r="F2" s="235"/>
      <c r="G2" s="235"/>
      <c r="H2" s="235"/>
      <c r="I2" s="235"/>
      <c r="J2" s="236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214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8"/>
      <c r="D5" s="248"/>
      <c r="E5" s="248"/>
      <c r="F5" s="248"/>
      <c r="G5" s="248"/>
      <c r="H5" s="248"/>
      <c r="I5" s="248"/>
      <c r="J5" s="249"/>
    </row>
    <row r="6" spans="2:10" x14ac:dyDescent="0.3">
      <c r="B6" s="1" t="s">
        <v>220</v>
      </c>
      <c r="C6" s="2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5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1"/>
      <c r="C8" s="5"/>
      <c r="D8" s="29" t="s">
        <v>12</v>
      </c>
      <c r="E8" s="122" t="s">
        <v>12</v>
      </c>
      <c r="F8" s="29" t="s">
        <v>12</v>
      </c>
      <c r="G8" s="29" t="s">
        <v>12</v>
      </c>
      <c r="H8" s="29" t="s">
        <v>12</v>
      </c>
      <c r="I8" s="69" t="s">
        <v>12</v>
      </c>
      <c r="J8" s="126" t="s">
        <v>12</v>
      </c>
    </row>
    <row r="9" spans="2:10" x14ac:dyDescent="0.3">
      <c r="B9" s="11">
        <v>4100</v>
      </c>
      <c r="C9" s="2" t="s">
        <v>13</v>
      </c>
      <c r="D9" s="65">
        <f>9000+3744</f>
        <v>12744</v>
      </c>
      <c r="E9" s="55">
        <v>9000</v>
      </c>
      <c r="F9" s="65">
        <v>2487.5</v>
      </c>
      <c r="G9" s="65">
        <v>6000</v>
      </c>
      <c r="H9" s="65">
        <v>6000</v>
      </c>
      <c r="I9" s="70">
        <v>6000</v>
      </c>
      <c r="J9" s="185"/>
    </row>
    <row r="10" spans="2:10" x14ac:dyDescent="0.3">
      <c r="B10" s="8">
        <v>4102</v>
      </c>
      <c r="C10" s="9" t="s">
        <v>75</v>
      </c>
      <c r="D10" s="66">
        <f>7162.5+11000+14250+3900+6750+4185.3+5831.25+7200+226.8+1042.42+3850</f>
        <v>65398.270000000004</v>
      </c>
      <c r="E10" s="55">
        <v>69995</v>
      </c>
      <c r="F10" s="66">
        <v>63379.79</v>
      </c>
      <c r="G10" s="66">
        <v>49631</v>
      </c>
      <c r="H10" s="65">
        <v>90029</v>
      </c>
      <c r="I10" s="70">
        <v>75885</v>
      </c>
      <c r="J10" s="185">
        <v>91868.76</v>
      </c>
    </row>
    <row r="11" spans="2:10" x14ac:dyDescent="0.3">
      <c r="B11" s="12" t="s">
        <v>14</v>
      </c>
      <c r="C11" s="13"/>
      <c r="D11" s="53">
        <f t="shared" ref="D11:F11" si="0">SUM(D9:D10)</f>
        <v>78142.27</v>
      </c>
      <c r="E11" s="53">
        <f t="shared" si="0"/>
        <v>78995</v>
      </c>
      <c r="F11" s="53">
        <f t="shared" si="0"/>
        <v>65867.290000000008</v>
      </c>
      <c r="G11" s="53">
        <f>SUM(G9:G10)</f>
        <v>55631</v>
      </c>
      <c r="H11" s="53">
        <f>SUM(H9:H10)</f>
        <v>96029</v>
      </c>
      <c r="I11" s="71">
        <f t="shared" ref="I11" si="1">SUM(I9:I10)</f>
        <v>81885</v>
      </c>
      <c r="J11" s="118">
        <f>SUM(J10)</f>
        <v>91868.76</v>
      </c>
    </row>
    <row r="12" spans="2:10" ht="15.6" x14ac:dyDescent="0.3">
      <c r="B12" s="231" t="s">
        <v>15</v>
      </c>
      <c r="C12" s="246"/>
      <c r="D12" s="246"/>
      <c r="E12" s="246"/>
      <c r="F12" s="246"/>
      <c r="G12" s="246"/>
      <c r="H12" s="246"/>
      <c r="I12" s="246"/>
      <c r="J12" s="247"/>
    </row>
    <row r="13" spans="2:10" x14ac:dyDescent="0.3">
      <c r="B13" s="14" t="str">
        <f>+B6</f>
        <v>Personnel &amp; Finance</v>
      </c>
      <c r="C13" s="15"/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68" t="s">
        <v>199</v>
      </c>
      <c r="J13" s="131" t="s">
        <v>215</v>
      </c>
    </row>
    <row r="14" spans="2:10" ht="28.8" x14ac:dyDescent="0.3">
      <c r="B14" s="17" t="str">
        <f>+B7</f>
        <v>N/C</v>
      </c>
      <c r="C14" s="18" t="str">
        <f>+C7</f>
        <v>NAME</v>
      </c>
      <c r="D14" s="83" t="s">
        <v>10</v>
      </c>
      <c r="E14" s="83" t="s">
        <v>10</v>
      </c>
      <c r="F14" s="83" t="s">
        <v>10</v>
      </c>
      <c r="G14" s="83" t="s">
        <v>10</v>
      </c>
      <c r="H14" s="83" t="s">
        <v>10</v>
      </c>
      <c r="I14" s="173" t="s">
        <v>181</v>
      </c>
      <c r="J14" s="174" t="s">
        <v>200</v>
      </c>
    </row>
    <row r="15" spans="2:10" x14ac:dyDescent="0.3">
      <c r="B15" s="19"/>
      <c r="C15" s="20"/>
      <c r="D15" s="16" t="s">
        <v>12</v>
      </c>
      <c r="E15" s="16" t="str">
        <f>+E8</f>
        <v>£</v>
      </c>
      <c r="F15" s="16" t="str">
        <f>+F8</f>
        <v>£</v>
      </c>
      <c r="G15" s="16" t="s">
        <v>12</v>
      </c>
      <c r="H15" s="16" t="s">
        <v>12</v>
      </c>
      <c r="I15" s="72" t="str">
        <f>+I8</f>
        <v>£</v>
      </c>
      <c r="J15" s="176" t="str">
        <f>+J8</f>
        <v>£</v>
      </c>
    </row>
    <row r="16" spans="2:10" ht="15" thickBot="1" x14ac:dyDescent="0.35">
      <c r="B16" s="8">
        <v>5100</v>
      </c>
      <c r="C16" s="9" t="s">
        <v>16</v>
      </c>
      <c r="D16" s="65">
        <f>SUM(D17:D21)</f>
        <v>492425</v>
      </c>
      <c r="E16" s="65">
        <f t="shared" ref="E16:H16" si="2">SUM(E17:E21)</f>
        <v>501679</v>
      </c>
      <c r="F16" s="65">
        <f t="shared" si="2"/>
        <v>495335</v>
      </c>
      <c r="G16" s="65">
        <f t="shared" si="2"/>
        <v>507904</v>
      </c>
      <c r="H16" s="65">
        <f t="shared" si="2"/>
        <v>564280</v>
      </c>
      <c r="I16" s="70">
        <f>SUM(I17:I21)</f>
        <v>669784</v>
      </c>
      <c r="J16" s="116">
        <f>SUM(J17:J21)</f>
        <v>766737.00300000003</v>
      </c>
    </row>
    <row r="17" spans="2:10" x14ac:dyDescent="0.3">
      <c r="B17" s="8"/>
      <c r="C17" s="192" t="s">
        <v>216</v>
      </c>
      <c r="D17" s="197">
        <v>492425</v>
      </c>
      <c r="E17" s="197">
        <v>501679</v>
      </c>
      <c r="F17" s="197">
        <v>495335</v>
      </c>
      <c r="G17" s="197">
        <v>507904</v>
      </c>
      <c r="H17" s="197">
        <v>564280</v>
      </c>
      <c r="I17" s="198">
        <v>584648</v>
      </c>
      <c r="J17" s="199">
        <f>696338-22819</f>
        <v>673519</v>
      </c>
    </row>
    <row r="18" spans="2:10" x14ac:dyDescent="0.3">
      <c r="B18" s="8"/>
      <c r="C18" s="193" t="s">
        <v>219</v>
      </c>
      <c r="D18" s="200"/>
      <c r="E18" s="200"/>
      <c r="F18" s="200"/>
      <c r="G18" s="200"/>
      <c r="H18" s="200"/>
      <c r="I18" s="201">
        <v>55677</v>
      </c>
      <c r="J18" s="202">
        <v>37907</v>
      </c>
    </row>
    <row r="19" spans="2:10" x14ac:dyDescent="0.3">
      <c r="B19" s="8"/>
      <c r="C19" s="193" t="s">
        <v>217</v>
      </c>
      <c r="D19" s="200"/>
      <c r="E19" s="200"/>
      <c r="F19" s="200"/>
      <c r="G19" s="200"/>
      <c r="H19" s="200"/>
      <c r="I19" s="201">
        <v>25140</v>
      </c>
      <c r="J19" s="202">
        <v>169494.003</v>
      </c>
    </row>
    <row r="20" spans="2:10" x14ac:dyDescent="0.3">
      <c r="B20" s="8"/>
      <c r="C20" s="193" t="s">
        <v>218</v>
      </c>
      <c r="D20" s="200"/>
      <c r="E20" s="200"/>
      <c r="F20" s="200"/>
      <c r="G20" s="200"/>
      <c r="H20" s="200"/>
      <c r="I20" s="201">
        <v>4319</v>
      </c>
      <c r="J20" s="202">
        <v>5150</v>
      </c>
    </row>
    <row r="21" spans="2:10" ht="15" thickBot="1" x14ac:dyDescent="0.35">
      <c r="B21" s="8"/>
      <c r="C21" s="194" t="s">
        <v>250</v>
      </c>
      <c r="D21" s="203"/>
      <c r="E21" s="203"/>
      <c r="F21" s="203"/>
      <c r="G21" s="203"/>
      <c r="H21" s="203"/>
      <c r="I21" s="204"/>
      <c r="J21" s="205">
        <v>-119333</v>
      </c>
    </row>
    <row r="22" spans="2:10" x14ac:dyDescent="0.3">
      <c r="B22" s="8">
        <v>5105</v>
      </c>
      <c r="C22" s="9" t="s">
        <v>17</v>
      </c>
      <c r="D22" s="65">
        <v>3000</v>
      </c>
      <c r="E22" s="65">
        <v>-3000</v>
      </c>
      <c r="F22" s="65"/>
      <c r="G22" s="65"/>
      <c r="H22" s="65"/>
      <c r="I22" s="70">
        <v>0</v>
      </c>
      <c r="J22" s="116">
        <v>0</v>
      </c>
    </row>
    <row r="23" spans="2:10" x14ac:dyDescent="0.3">
      <c r="B23" s="11">
        <v>5110</v>
      </c>
      <c r="C23" s="2" t="s">
        <v>18</v>
      </c>
      <c r="D23" s="65">
        <v>5791.07</v>
      </c>
      <c r="E23" s="65">
        <v>2492</v>
      </c>
      <c r="F23" s="65">
        <v>1616.5</v>
      </c>
      <c r="G23" s="65">
        <v>3101</v>
      </c>
      <c r="H23" s="65">
        <v>2602</v>
      </c>
      <c r="I23" s="70">
        <v>2198</v>
      </c>
      <c r="J23" s="116">
        <v>4500</v>
      </c>
    </row>
    <row r="24" spans="2:10" x14ac:dyDescent="0.3">
      <c r="B24" s="8">
        <v>5115</v>
      </c>
      <c r="C24" s="9" t="s">
        <v>19</v>
      </c>
      <c r="D24" s="65"/>
      <c r="E24" s="65">
        <v>-22</v>
      </c>
      <c r="F24" s="65"/>
      <c r="G24" s="65">
        <v>175</v>
      </c>
      <c r="H24" s="65">
        <v>900</v>
      </c>
      <c r="I24" s="70">
        <v>0</v>
      </c>
      <c r="J24" s="116">
        <v>0</v>
      </c>
    </row>
    <row r="25" spans="2:10" x14ac:dyDescent="0.3">
      <c r="B25" s="8">
        <v>5120</v>
      </c>
      <c r="C25" s="9" t="s">
        <v>20</v>
      </c>
      <c r="D25" s="65">
        <v>5627.13</v>
      </c>
      <c r="E25" s="65">
        <v>5984</v>
      </c>
      <c r="F25" s="65">
        <v>7033.15</v>
      </c>
      <c r="G25" s="65">
        <v>12018</v>
      </c>
      <c r="H25" s="65">
        <v>7686</v>
      </c>
      <c r="I25" s="70">
        <v>8095</v>
      </c>
      <c r="J25" s="116">
        <v>8150</v>
      </c>
    </row>
    <row r="26" spans="2:10" x14ac:dyDescent="0.3">
      <c r="B26" s="8">
        <v>5122</v>
      </c>
      <c r="C26" s="9" t="s">
        <v>21</v>
      </c>
      <c r="D26" s="65">
        <f>801.05+21308.34+6809.97</f>
        <v>28919.360000000001</v>
      </c>
      <c r="E26" s="65">
        <v>15929</v>
      </c>
      <c r="F26" s="65">
        <v>-24.47</v>
      </c>
      <c r="G26" s="65">
        <v>10000</v>
      </c>
      <c r="H26" s="65">
        <v>10095</v>
      </c>
      <c r="I26" s="70">
        <v>10000</v>
      </c>
      <c r="J26" s="116">
        <v>0</v>
      </c>
    </row>
    <row r="27" spans="2:10" x14ac:dyDescent="0.3">
      <c r="B27" s="8">
        <v>5124</v>
      </c>
      <c r="C27" s="9" t="s">
        <v>22</v>
      </c>
      <c r="D27" s="65">
        <f>4419.48+25882.5+4265.36+1092+2272+10200</f>
        <v>48131.34</v>
      </c>
      <c r="E27" s="65">
        <v>31389</v>
      </c>
      <c r="F27" s="65">
        <v>47739.21</v>
      </c>
      <c r="G27" s="65">
        <v>43217</v>
      </c>
      <c r="H27" s="65">
        <v>55893</v>
      </c>
      <c r="I27" s="70">
        <v>48187</v>
      </c>
      <c r="J27" s="116">
        <v>30230.764660869001</v>
      </c>
    </row>
    <row r="28" spans="2:10" x14ac:dyDescent="0.3">
      <c r="B28" s="8">
        <v>5125</v>
      </c>
      <c r="C28" s="9" t="s">
        <v>23</v>
      </c>
      <c r="D28" s="65">
        <f>179.55+816.85+3960.55</f>
        <v>4956.9500000000007</v>
      </c>
      <c r="E28" s="65">
        <v>3440</v>
      </c>
      <c r="F28" s="65">
        <v>1356.12</v>
      </c>
      <c r="G28" s="65">
        <v>2209</v>
      </c>
      <c r="H28" s="65">
        <v>3167</v>
      </c>
      <c r="I28" s="70">
        <v>2353</v>
      </c>
      <c r="J28" s="116">
        <v>2588.3000000000002</v>
      </c>
    </row>
    <row r="29" spans="2:10" x14ac:dyDescent="0.3">
      <c r="B29" s="8">
        <v>5126</v>
      </c>
      <c r="C29" s="9" t="s">
        <v>183</v>
      </c>
      <c r="D29" s="65">
        <f>283.88+1278.26+1946.17+216.34+556.77+745.7</f>
        <v>5027.12</v>
      </c>
      <c r="E29" s="65">
        <v>3753</v>
      </c>
      <c r="F29" s="65">
        <v>8846.15</v>
      </c>
      <c r="G29" s="65">
        <v>5262</v>
      </c>
      <c r="H29" s="65">
        <v>11538</v>
      </c>
      <c r="I29" s="70">
        <v>8390</v>
      </c>
      <c r="J29" s="116">
        <v>9229</v>
      </c>
    </row>
    <row r="30" spans="2:10" x14ac:dyDescent="0.3">
      <c r="B30" s="8">
        <v>5130</v>
      </c>
      <c r="C30" s="9" t="s">
        <v>24</v>
      </c>
      <c r="D30" s="65">
        <f>9375.76+273.65+957.94</f>
        <v>10607.35</v>
      </c>
      <c r="E30" s="65">
        <v>10299</v>
      </c>
      <c r="F30" s="65">
        <v>14278.36</v>
      </c>
      <c r="G30" s="65">
        <v>16242</v>
      </c>
      <c r="H30" s="65">
        <v>17429</v>
      </c>
      <c r="I30" s="70">
        <v>22544</v>
      </c>
      <c r="J30" s="116">
        <v>24446.68</v>
      </c>
    </row>
    <row r="31" spans="2:10" x14ac:dyDescent="0.3">
      <c r="B31" s="8">
        <v>5132</v>
      </c>
      <c r="C31" s="9" t="s">
        <v>25</v>
      </c>
      <c r="D31" s="65">
        <f>732.06</f>
        <v>732.06</v>
      </c>
      <c r="E31" s="65">
        <v>268</v>
      </c>
      <c r="F31" s="65">
        <v>3326.54</v>
      </c>
      <c r="G31" s="65">
        <v>5649</v>
      </c>
      <c r="H31" s="65">
        <v>3914</v>
      </c>
      <c r="I31" s="70">
        <v>8861</v>
      </c>
      <c r="J31" s="116">
        <f>13640+7000</f>
        <v>20640</v>
      </c>
    </row>
    <row r="32" spans="2:10" x14ac:dyDescent="0.3">
      <c r="B32" s="8">
        <v>5134</v>
      </c>
      <c r="C32" s="9" t="s">
        <v>26</v>
      </c>
      <c r="D32" s="65">
        <f>5869.18</f>
        <v>5869.18</v>
      </c>
      <c r="E32" s="65">
        <v>3700</v>
      </c>
      <c r="F32" s="65">
        <v>1071.3900000000001</v>
      </c>
      <c r="G32" s="65">
        <v>5557</v>
      </c>
      <c r="H32" s="65">
        <v>5306</v>
      </c>
      <c r="I32" s="70">
        <v>9222</v>
      </c>
      <c r="J32" s="116">
        <v>0</v>
      </c>
    </row>
    <row r="33" spans="2:10" x14ac:dyDescent="0.3">
      <c r="B33" s="8">
        <v>5136</v>
      </c>
      <c r="C33" s="9" t="s">
        <v>27</v>
      </c>
      <c r="D33" s="65">
        <f>3050.97+1438.8+1323.6+6645.94</f>
        <v>12459.309999999998</v>
      </c>
      <c r="E33" s="65">
        <v>11557</v>
      </c>
      <c r="F33" s="65">
        <v>11813.28</v>
      </c>
      <c r="G33" s="65">
        <v>11339</v>
      </c>
      <c r="H33" s="65">
        <v>16344</v>
      </c>
      <c r="I33" s="70">
        <v>20517</v>
      </c>
      <c r="J33" s="116">
        <v>14419.2</v>
      </c>
    </row>
    <row r="34" spans="2:10" x14ac:dyDescent="0.3">
      <c r="B34" s="8">
        <v>5138</v>
      </c>
      <c r="C34" s="9" t="s">
        <v>182</v>
      </c>
      <c r="D34" s="65"/>
      <c r="E34" s="65"/>
      <c r="F34" s="65"/>
      <c r="G34" s="65">
        <v>4891</v>
      </c>
      <c r="H34" s="65">
        <v>4126</v>
      </c>
      <c r="I34" s="70"/>
      <c r="J34" s="116">
        <v>0</v>
      </c>
    </row>
    <row r="35" spans="2:10" x14ac:dyDescent="0.3">
      <c r="B35" s="8">
        <v>5150</v>
      </c>
      <c r="C35" s="9" t="s">
        <v>28</v>
      </c>
      <c r="D35" s="65">
        <f>63.75+2561.95+1349.73+6946.46+779.15+11.96+697.25+774.52+48.92+35.58+4168.21</f>
        <v>17437.48</v>
      </c>
      <c r="E35" s="65">
        <v>15732</v>
      </c>
      <c r="F35" s="65">
        <v>13356.33</v>
      </c>
      <c r="G35" s="65">
        <v>13261</v>
      </c>
      <c r="H35" s="65">
        <v>8355</v>
      </c>
      <c r="I35" s="70">
        <v>11077</v>
      </c>
      <c r="J35" s="116">
        <v>12000</v>
      </c>
    </row>
    <row r="36" spans="2:10" x14ac:dyDescent="0.3">
      <c r="B36" s="8">
        <v>5152</v>
      </c>
      <c r="C36" s="9" t="s">
        <v>29</v>
      </c>
      <c r="D36" s="65">
        <f>594.3</f>
        <v>594.29999999999995</v>
      </c>
      <c r="E36" s="65">
        <v>244</v>
      </c>
      <c r="F36" s="65"/>
      <c r="G36" s="65">
        <v>0</v>
      </c>
      <c r="H36" s="65">
        <v>64</v>
      </c>
      <c r="I36" s="70">
        <v>524</v>
      </c>
      <c r="J36" s="116">
        <v>600</v>
      </c>
    </row>
    <row r="37" spans="2:10" x14ac:dyDescent="0.3">
      <c r="B37" s="8">
        <v>5154</v>
      </c>
      <c r="C37" s="9" t="s">
        <v>116</v>
      </c>
      <c r="D37" s="65"/>
      <c r="E37" s="65">
        <v>250</v>
      </c>
      <c r="F37" s="65">
        <f>2282+206</f>
        <v>2488</v>
      </c>
      <c r="G37" s="65">
        <v>7691</v>
      </c>
      <c r="H37" s="65">
        <v>1735</v>
      </c>
      <c r="I37" s="70">
        <v>1179</v>
      </c>
      <c r="J37" s="116">
        <v>2250</v>
      </c>
    </row>
    <row r="38" spans="2:10" x14ac:dyDescent="0.3">
      <c r="B38" s="8">
        <v>5156</v>
      </c>
      <c r="C38" s="9" t="s">
        <v>30</v>
      </c>
      <c r="D38" s="65">
        <f>1199.5+1612.93+349.92</f>
        <v>3162.3500000000004</v>
      </c>
      <c r="E38" s="65">
        <v>2411</v>
      </c>
      <c r="F38" s="65">
        <v>2236.08</v>
      </c>
      <c r="G38" s="65">
        <v>4613</v>
      </c>
      <c r="H38" s="65">
        <v>5220</v>
      </c>
      <c r="I38" s="70">
        <v>3338</v>
      </c>
      <c r="J38" s="116">
        <v>4970.0039999999999</v>
      </c>
    </row>
    <row r="39" spans="2:10" x14ac:dyDescent="0.3">
      <c r="B39" s="8">
        <v>5160</v>
      </c>
      <c r="C39" s="9" t="s">
        <v>31</v>
      </c>
      <c r="D39" s="65">
        <f>2285.53+2753.84+6050.74+70+741+2714.55</f>
        <v>14615.66</v>
      </c>
      <c r="E39" s="65">
        <v>9323</v>
      </c>
      <c r="F39" s="65">
        <v>9898.66</v>
      </c>
      <c r="G39" s="65">
        <v>11285</v>
      </c>
      <c r="H39" s="65">
        <v>22494</v>
      </c>
      <c r="I39" s="70">
        <v>19401</v>
      </c>
      <c r="J39" s="116">
        <v>21341.100000000002</v>
      </c>
    </row>
    <row r="40" spans="2:10" x14ac:dyDescent="0.3">
      <c r="B40" s="8">
        <v>5162</v>
      </c>
      <c r="C40" s="9" t="s">
        <v>32</v>
      </c>
      <c r="D40" s="65">
        <f>253.42+6440.04+2847.71+382.42+678.34+579.25+453.84</f>
        <v>11635.02</v>
      </c>
      <c r="E40" s="65">
        <v>3931</v>
      </c>
      <c r="F40" s="65">
        <v>1416.03</v>
      </c>
      <c r="G40" s="65">
        <v>2841</v>
      </c>
      <c r="H40" s="65">
        <v>5108</v>
      </c>
      <c r="I40" s="70">
        <v>5978</v>
      </c>
      <c r="J40" s="116">
        <v>8375.7999999999993</v>
      </c>
    </row>
    <row r="41" spans="2:10" x14ac:dyDescent="0.3">
      <c r="B41" s="8">
        <v>5163</v>
      </c>
      <c r="C41" s="9" t="s">
        <v>114</v>
      </c>
      <c r="D41" s="65">
        <v>0</v>
      </c>
      <c r="E41" s="65">
        <v>2400</v>
      </c>
      <c r="F41" s="65">
        <v>11850</v>
      </c>
      <c r="G41" s="65">
        <v>0</v>
      </c>
      <c r="H41" s="65">
        <v>0</v>
      </c>
      <c r="I41" s="70">
        <v>0</v>
      </c>
      <c r="J41" s="116">
        <v>0</v>
      </c>
    </row>
    <row r="42" spans="2:10" x14ac:dyDescent="0.3">
      <c r="B42" s="8">
        <v>5170</v>
      </c>
      <c r="C42" s="9" t="s">
        <v>33</v>
      </c>
      <c r="D42" s="65">
        <v>425</v>
      </c>
      <c r="E42" s="65">
        <v>4825</v>
      </c>
      <c r="F42" s="65">
        <v>5250</v>
      </c>
      <c r="G42" s="65">
        <v>4350</v>
      </c>
      <c r="H42" s="65">
        <v>6140</v>
      </c>
      <c r="I42" s="70">
        <v>6240</v>
      </c>
      <c r="J42" s="116">
        <v>6864.0000000000009</v>
      </c>
    </row>
    <row r="43" spans="2:10" x14ac:dyDescent="0.3">
      <c r="B43" s="8">
        <v>5172</v>
      </c>
      <c r="C43" s="9" t="s">
        <v>34</v>
      </c>
      <c r="D43" s="65">
        <f>500+6396.7</f>
        <v>6896.7</v>
      </c>
      <c r="E43" s="65">
        <v>12264</v>
      </c>
      <c r="F43" s="65">
        <v>15978</v>
      </c>
      <c r="G43" s="65">
        <v>7947</v>
      </c>
      <c r="H43" s="65">
        <v>14674</v>
      </c>
      <c r="I43" s="70">
        <v>10890</v>
      </c>
      <c r="J43" s="116">
        <v>14152</v>
      </c>
    </row>
    <row r="44" spans="2:10" x14ac:dyDescent="0.3">
      <c r="B44" s="8">
        <v>5180</v>
      </c>
      <c r="C44" s="9" t="s">
        <v>35</v>
      </c>
      <c r="D44" s="65">
        <f>163+79+783+494+523+1846.57+64+11159.95</f>
        <v>15112.52</v>
      </c>
      <c r="E44" s="65">
        <v>12006</v>
      </c>
      <c r="F44" s="65">
        <v>11587.01</v>
      </c>
      <c r="G44" s="65">
        <v>10117</v>
      </c>
      <c r="H44" s="65">
        <v>11426</v>
      </c>
      <c r="I44" s="70">
        <v>11343</v>
      </c>
      <c r="J44" s="116">
        <v>11500</v>
      </c>
    </row>
    <row r="45" spans="2:10" x14ac:dyDescent="0.3">
      <c r="B45" s="8">
        <v>5182</v>
      </c>
      <c r="C45" s="9" t="s">
        <v>118</v>
      </c>
      <c r="D45" s="65"/>
      <c r="E45" s="65"/>
      <c r="F45" s="65">
        <v>2145.02</v>
      </c>
      <c r="G45" s="65">
        <v>1304</v>
      </c>
      <c r="H45" s="65"/>
      <c r="I45" s="70">
        <v>0</v>
      </c>
      <c r="J45" s="116">
        <v>0</v>
      </c>
    </row>
    <row r="46" spans="2:10" x14ac:dyDescent="0.3">
      <c r="B46" s="8">
        <v>5190</v>
      </c>
      <c r="C46" s="9" t="s">
        <v>36</v>
      </c>
      <c r="D46" s="65">
        <f>1408.21</f>
        <v>1408.21</v>
      </c>
      <c r="E46" s="65">
        <v>2409</v>
      </c>
      <c r="F46" s="65">
        <v>1584.8</v>
      </c>
      <c r="G46" s="65">
        <v>1860</v>
      </c>
      <c r="H46" s="65">
        <v>3162</v>
      </c>
      <c r="I46" s="70">
        <v>5005</v>
      </c>
      <c r="J46" s="116">
        <v>5100</v>
      </c>
    </row>
    <row r="47" spans="2:10" x14ac:dyDescent="0.3">
      <c r="B47" s="8">
        <v>5195</v>
      </c>
      <c r="C47" s="9" t="s">
        <v>90</v>
      </c>
      <c r="D47" s="65"/>
      <c r="E47" s="65">
        <v>2884</v>
      </c>
      <c r="F47" s="65">
        <v>339.66</v>
      </c>
      <c r="G47" s="65"/>
      <c r="H47" s="65"/>
      <c r="I47" s="70">
        <v>1000</v>
      </c>
      <c r="J47" s="116">
        <v>0</v>
      </c>
    </row>
    <row r="48" spans="2:10" x14ac:dyDescent="0.3">
      <c r="B48" s="8">
        <v>5199</v>
      </c>
      <c r="C48" s="9" t="s">
        <v>115</v>
      </c>
      <c r="D48" s="65"/>
      <c r="E48" s="65">
        <v>780</v>
      </c>
      <c r="F48" s="65">
        <v>760</v>
      </c>
      <c r="G48" s="65">
        <v>800</v>
      </c>
      <c r="H48" s="65">
        <v>820</v>
      </c>
      <c r="I48" s="70">
        <v>900</v>
      </c>
      <c r="J48" s="116">
        <v>900</v>
      </c>
    </row>
    <row r="49" spans="2:10" x14ac:dyDescent="0.3">
      <c r="B49" s="8"/>
      <c r="C49" s="9" t="s">
        <v>157</v>
      </c>
      <c r="D49" s="65"/>
      <c r="E49" s="65"/>
      <c r="F49" s="65">
        <v>50000</v>
      </c>
      <c r="G49" s="65"/>
      <c r="H49" s="65"/>
      <c r="I49" s="70"/>
      <c r="J49" s="116">
        <v>0</v>
      </c>
    </row>
    <row r="50" spans="2:10" x14ac:dyDescent="0.3">
      <c r="B50" s="8"/>
      <c r="C50" s="9" t="s">
        <v>154</v>
      </c>
      <c r="D50" s="44"/>
      <c r="E50" s="44"/>
      <c r="F50" s="44"/>
      <c r="G50" s="44"/>
      <c r="H50" s="21"/>
      <c r="I50" s="70"/>
      <c r="J50" s="116">
        <v>0</v>
      </c>
    </row>
    <row r="51" spans="2:10" x14ac:dyDescent="0.3">
      <c r="B51" s="12" t="s">
        <v>14</v>
      </c>
      <c r="C51" s="22"/>
      <c r="D51" s="53">
        <f t="shared" ref="D51:G51" si="3">SUM(D16:D50)</f>
        <v>1187258.1100000001</v>
      </c>
      <c r="E51" s="53">
        <f t="shared" si="3"/>
        <v>1158606</v>
      </c>
      <c r="F51" s="53">
        <f t="shared" si="3"/>
        <v>1216615.82</v>
      </c>
      <c r="G51" s="53">
        <f t="shared" si="3"/>
        <v>1201537</v>
      </c>
      <c r="H51" s="53">
        <f>SUM(H16:H50)-H16</f>
        <v>782478</v>
      </c>
      <c r="I51" s="71">
        <f>SUM(I16:I50)-I16</f>
        <v>887026</v>
      </c>
      <c r="J51" s="118">
        <f>SUM(J16:J50)-J16</f>
        <v>968993.85166086908</v>
      </c>
    </row>
    <row r="53" spans="2:10" x14ac:dyDescent="0.3">
      <c r="B53" s="23" t="s">
        <v>37</v>
      </c>
      <c r="C53" s="24" t="str">
        <f>+B6</f>
        <v>Personnel &amp; Finance</v>
      </c>
      <c r="D53" s="53">
        <f t="shared" ref="D53:J53" si="4">+D11-D51</f>
        <v>-1109115.8400000001</v>
      </c>
      <c r="E53" s="53">
        <f t="shared" si="4"/>
        <v>-1079611</v>
      </c>
      <c r="F53" s="53">
        <f t="shared" si="4"/>
        <v>-1150748.53</v>
      </c>
      <c r="G53" s="53">
        <f t="shared" si="4"/>
        <v>-1145906</v>
      </c>
      <c r="H53" s="53">
        <f t="shared" si="4"/>
        <v>-686449</v>
      </c>
      <c r="I53" s="71">
        <f t="shared" si="4"/>
        <v>-805141</v>
      </c>
      <c r="J53" s="118">
        <f t="shared" si="4"/>
        <v>-877125.09166086907</v>
      </c>
    </row>
    <row r="54" spans="2:10" x14ac:dyDescent="0.3">
      <c r="J54" s="25"/>
    </row>
  </sheetData>
  <mergeCells count="5">
    <mergeCell ref="B2:J2"/>
    <mergeCell ref="B3:J3"/>
    <mergeCell ref="B4:J4"/>
    <mergeCell ref="B12:J12"/>
    <mergeCell ref="B5:J5"/>
  </mergeCells>
  <pageMargins left="0.7" right="0.7" top="0.75" bottom="0.75" header="0.3" footer="0.3"/>
  <pageSetup paperSize="9" scale="84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6160-0BBB-4D8E-A9A3-E680EFBC855F}">
  <sheetPr codeName="Sheet5">
    <pageSetUpPr fitToPage="1"/>
  </sheetPr>
  <dimension ref="B2:Q46"/>
  <sheetViews>
    <sheetView tabSelected="1" topLeftCell="A17" workbookViewId="0">
      <selection activeCell="Q33" sqref="Q33"/>
    </sheetView>
  </sheetViews>
  <sheetFormatPr defaultRowHeight="14.4" x14ac:dyDescent="0.3"/>
  <cols>
    <col min="1" max="1" width="3.109375" customWidth="1"/>
    <col min="2" max="2" width="8.44140625" customWidth="1"/>
    <col min="3" max="3" width="32.109375" customWidth="1"/>
    <col min="4" max="10" width="10.6640625" customWidth="1"/>
    <col min="11" max="11" width="2.6640625" customWidth="1"/>
  </cols>
  <sheetData>
    <row r="2" spans="2:10" ht="18" x14ac:dyDescent="0.35">
      <c r="B2" s="234" t="s">
        <v>1</v>
      </c>
      <c r="C2" s="250"/>
      <c r="D2" s="250"/>
      <c r="E2" s="250"/>
      <c r="F2" s="250"/>
      <c r="G2" s="250"/>
      <c r="H2" s="250"/>
      <c r="I2" s="250"/>
      <c r="J2" s="251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214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1" t="s">
        <v>223</v>
      </c>
      <c r="C6" s="27"/>
      <c r="D6" s="133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31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29" t="s">
        <v>12</v>
      </c>
      <c r="E8" s="40" t="s">
        <v>12</v>
      </c>
      <c r="F8" s="29" t="s">
        <v>12</v>
      </c>
      <c r="G8" s="29" t="s">
        <v>12</v>
      </c>
      <c r="H8" s="29" t="s">
        <v>12</v>
      </c>
      <c r="I8" s="69" t="s">
        <v>12</v>
      </c>
      <c r="J8" s="126" t="s">
        <v>12</v>
      </c>
    </row>
    <row r="9" spans="2:10" x14ac:dyDescent="0.3">
      <c r="B9" s="11">
        <v>4200</v>
      </c>
      <c r="C9" s="2" t="s">
        <v>38</v>
      </c>
      <c r="D9" s="60">
        <f>31392.19</f>
        <v>31392.19</v>
      </c>
      <c r="E9" s="55">
        <v>39621</v>
      </c>
      <c r="F9" s="65">
        <v>820.39</v>
      </c>
      <c r="G9" s="65">
        <v>25494</v>
      </c>
      <c r="H9" s="65">
        <f>52483</f>
        <v>52483</v>
      </c>
      <c r="I9" s="82">
        <v>36234</v>
      </c>
      <c r="J9" s="132">
        <v>15500</v>
      </c>
    </row>
    <row r="10" spans="2:10" x14ac:dyDescent="0.3">
      <c r="B10" s="11">
        <v>4201</v>
      </c>
      <c r="C10" s="2" t="s">
        <v>221</v>
      </c>
      <c r="D10" s="60"/>
      <c r="E10" s="55"/>
      <c r="F10" s="65"/>
      <c r="G10" s="65"/>
      <c r="H10" s="65">
        <v>1571</v>
      </c>
      <c r="I10" s="82"/>
      <c r="J10" s="132">
        <v>0</v>
      </c>
    </row>
    <row r="11" spans="2:10" x14ac:dyDescent="0.3">
      <c r="B11" s="11">
        <v>4202</v>
      </c>
      <c r="C11" s="2" t="s">
        <v>173</v>
      </c>
      <c r="D11" s="60">
        <f>25954.08+1375.96+14325</f>
        <v>41655.040000000001</v>
      </c>
      <c r="E11" s="55">
        <f>33143+11745</f>
        <v>44888</v>
      </c>
      <c r="F11" s="65">
        <f>4606.34+2025</f>
        <v>6631.34</v>
      </c>
      <c r="G11" s="65">
        <f>423+25386</f>
        <v>25809</v>
      </c>
      <c r="H11" s="65">
        <v>33784</v>
      </c>
      <c r="I11" s="82">
        <v>38613</v>
      </c>
      <c r="J11" s="132">
        <v>19000</v>
      </c>
    </row>
    <row r="12" spans="2:10" x14ac:dyDescent="0.3">
      <c r="B12" s="11">
        <v>4206</v>
      </c>
      <c r="C12" s="2" t="s">
        <v>174</v>
      </c>
      <c r="D12" s="60">
        <v>12442.13</v>
      </c>
      <c r="E12" s="55">
        <v>12376</v>
      </c>
      <c r="F12" s="65">
        <v>-224</v>
      </c>
      <c r="G12" s="65">
        <v>9193</v>
      </c>
      <c r="H12" s="65">
        <v>23034</v>
      </c>
      <c r="I12" s="82">
        <v>16968</v>
      </c>
      <c r="J12" s="132">
        <v>3750</v>
      </c>
    </row>
    <row r="13" spans="2:10" x14ac:dyDescent="0.3">
      <c r="B13" s="11">
        <v>4208</v>
      </c>
      <c r="C13" s="2" t="s">
        <v>39</v>
      </c>
      <c r="D13" s="60">
        <v>9969.9500000000007</v>
      </c>
      <c r="E13" s="55"/>
      <c r="F13" s="65"/>
      <c r="G13" s="65"/>
      <c r="H13" s="65"/>
      <c r="I13" s="82"/>
      <c r="J13" s="132">
        <v>0</v>
      </c>
    </row>
    <row r="14" spans="2:10" x14ac:dyDescent="0.3">
      <c r="B14" s="11">
        <v>4210</v>
      </c>
      <c r="C14" s="2" t="s">
        <v>40</v>
      </c>
      <c r="D14" s="60">
        <v>11386.16</v>
      </c>
      <c r="E14" s="55">
        <v>5959</v>
      </c>
      <c r="F14" s="65">
        <v>765.57</v>
      </c>
      <c r="G14" s="65">
        <v>4496</v>
      </c>
      <c r="H14" s="65">
        <v>8105</v>
      </c>
      <c r="I14" s="82">
        <v>3694</v>
      </c>
      <c r="J14" s="132">
        <v>1750</v>
      </c>
    </row>
    <row r="15" spans="2:10" x14ac:dyDescent="0.3">
      <c r="B15" s="11">
        <v>4215</v>
      </c>
      <c r="C15" s="2" t="s">
        <v>117</v>
      </c>
      <c r="D15" s="60"/>
      <c r="E15" s="65">
        <v>636</v>
      </c>
      <c r="F15" s="65"/>
      <c r="G15" s="65">
        <v>382</v>
      </c>
      <c r="H15" s="65">
        <v>832</v>
      </c>
      <c r="I15" s="82">
        <v>340</v>
      </c>
      <c r="J15" s="132">
        <v>175</v>
      </c>
    </row>
    <row r="16" spans="2:10" x14ac:dyDescent="0.3">
      <c r="B16" s="11">
        <v>4220</v>
      </c>
      <c r="C16" s="2" t="s">
        <v>41</v>
      </c>
      <c r="D16" s="60"/>
      <c r="E16" s="65">
        <v>108</v>
      </c>
      <c r="F16" s="65"/>
      <c r="G16" s="65">
        <v>228</v>
      </c>
      <c r="H16" s="65"/>
      <c r="I16" s="82"/>
      <c r="J16" s="132">
        <v>0</v>
      </c>
    </row>
    <row r="17" spans="2:17" x14ac:dyDescent="0.3">
      <c r="B17" s="11">
        <v>4224</v>
      </c>
      <c r="C17" s="2" t="s">
        <v>43</v>
      </c>
      <c r="D17" s="60"/>
      <c r="E17" s="65">
        <v>21</v>
      </c>
      <c r="F17" s="65"/>
      <c r="G17" s="65"/>
      <c r="H17" s="65"/>
      <c r="I17" s="82"/>
      <c r="J17" s="132">
        <v>0</v>
      </c>
    </row>
    <row r="18" spans="2:17" x14ac:dyDescent="0.3">
      <c r="B18" s="33">
        <v>4240</v>
      </c>
      <c r="C18" s="2" t="s">
        <v>191</v>
      </c>
      <c r="D18" s="60">
        <v>13639.52</v>
      </c>
      <c r="E18" s="65">
        <v>14889</v>
      </c>
      <c r="F18" s="65">
        <v>11391.6</v>
      </c>
      <c r="G18" s="65">
        <v>16327</v>
      </c>
      <c r="H18" s="65">
        <v>13195</v>
      </c>
      <c r="I18" s="82">
        <v>14722</v>
      </c>
      <c r="J18" s="132">
        <v>16000</v>
      </c>
    </row>
    <row r="19" spans="2:17" x14ac:dyDescent="0.3">
      <c r="B19" s="42">
        <v>4245</v>
      </c>
      <c r="C19" s="43" t="s">
        <v>161</v>
      </c>
      <c r="D19" s="134"/>
      <c r="E19" s="67"/>
      <c r="F19" s="44"/>
      <c r="G19" s="65">
        <v>170</v>
      </c>
      <c r="H19" s="65"/>
      <c r="I19" s="135">
        <v>1500</v>
      </c>
      <c r="J19" s="132">
        <v>750</v>
      </c>
    </row>
    <row r="20" spans="2:17" x14ac:dyDescent="0.3">
      <c r="B20" s="37" t="s">
        <v>14</v>
      </c>
      <c r="C20" s="38"/>
      <c r="D20" s="53">
        <f t="shared" ref="D20:J20" si="0">SUM(D9:D19)</f>
        <v>120484.99</v>
      </c>
      <c r="E20" s="53">
        <f t="shared" si="0"/>
        <v>118498</v>
      </c>
      <c r="F20" s="53">
        <f t="shared" si="0"/>
        <v>19384.900000000001</v>
      </c>
      <c r="G20" s="53">
        <f t="shared" si="0"/>
        <v>82099</v>
      </c>
      <c r="H20" s="53">
        <f t="shared" si="0"/>
        <v>133004</v>
      </c>
      <c r="I20" s="71">
        <f t="shared" si="0"/>
        <v>112071</v>
      </c>
      <c r="J20" s="118">
        <f t="shared" si="0"/>
        <v>56925</v>
      </c>
    </row>
    <row r="21" spans="2:17" ht="15.6" x14ac:dyDescent="0.3">
      <c r="B21" s="252" t="s">
        <v>15</v>
      </c>
      <c r="C21" s="253"/>
      <c r="D21" s="253"/>
      <c r="E21" s="253"/>
      <c r="F21" s="253"/>
      <c r="G21" s="253"/>
      <c r="H21" s="253"/>
      <c r="I21" s="253"/>
      <c r="J21" s="254"/>
    </row>
    <row r="22" spans="2:17" x14ac:dyDescent="0.3">
      <c r="B22" s="1" t="str">
        <f>+B6</f>
        <v>VENUES AND MARKETS</v>
      </c>
      <c r="C22" s="39"/>
      <c r="D22" s="133" t="s">
        <v>3</v>
      </c>
      <c r="E22" s="16" t="s">
        <v>4</v>
      </c>
      <c r="F22" s="16" t="s">
        <v>5</v>
      </c>
      <c r="G22" s="16" t="s">
        <v>6</v>
      </c>
      <c r="H22" s="16" t="s">
        <v>7</v>
      </c>
      <c r="I22" s="68" t="s">
        <v>199</v>
      </c>
      <c r="J22" s="131" t="s">
        <v>215</v>
      </c>
    </row>
    <row r="23" spans="2:17" ht="28.8" x14ac:dyDescent="0.3">
      <c r="B23" s="1" t="str">
        <f>+B7</f>
        <v>N/C</v>
      </c>
      <c r="C23" s="5" t="str">
        <f>+C7</f>
        <v>NAME</v>
      </c>
      <c r="D23" s="31" t="s">
        <v>10</v>
      </c>
      <c r="E23" s="83" t="s">
        <v>10</v>
      </c>
      <c r="F23" s="83" t="s">
        <v>11</v>
      </c>
      <c r="G23" s="83" t="s">
        <v>11</v>
      </c>
      <c r="H23" s="83" t="s">
        <v>10</v>
      </c>
      <c r="I23" s="173" t="s">
        <v>181</v>
      </c>
      <c r="J23" s="174" t="s">
        <v>200</v>
      </c>
    </row>
    <row r="24" spans="2:17" x14ac:dyDescent="0.3">
      <c r="B24" s="1"/>
      <c r="C24" s="5"/>
      <c r="D24" s="29" t="str">
        <f>+D8</f>
        <v>£</v>
      </c>
      <c r="E24" s="41" t="str">
        <f>+E8</f>
        <v>£</v>
      </c>
      <c r="F24" s="41" t="str">
        <f>+F8</f>
        <v>£</v>
      </c>
      <c r="G24" s="41" t="str">
        <f>+G8</f>
        <v>£</v>
      </c>
      <c r="H24" s="29" t="s">
        <v>12</v>
      </c>
      <c r="I24" s="69" t="s">
        <v>12</v>
      </c>
      <c r="J24" s="126" t="s">
        <v>12</v>
      </c>
    </row>
    <row r="25" spans="2:17" x14ac:dyDescent="0.3">
      <c r="B25" s="11">
        <v>5200</v>
      </c>
      <c r="C25" s="2" t="s">
        <v>44</v>
      </c>
      <c r="D25" s="60">
        <f>14527.15+269.66+544.14</f>
        <v>15340.949999999999</v>
      </c>
      <c r="E25" s="60">
        <v>21132</v>
      </c>
      <c r="F25" s="60">
        <v>2798.32</v>
      </c>
      <c r="G25" s="60">
        <v>11730</v>
      </c>
      <c r="H25" s="60">
        <v>26571</v>
      </c>
      <c r="I25" s="82">
        <v>22549</v>
      </c>
      <c r="J25" s="132">
        <v>9300</v>
      </c>
      <c r="Q25">
        <v>232133</v>
      </c>
    </row>
    <row r="26" spans="2:17" x14ac:dyDescent="0.3">
      <c r="B26" s="11">
        <v>5205</v>
      </c>
      <c r="C26" s="2" t="s">
        <v>194</v>
      </c>
      <c r="D26" s="60"/>
      <c r="E26" s="60"/>
      <c r="F26" s="60">
        <v>188.33</v>
      </c>
      <c r="G26" s="60">
        <v>3005</v>
      </c>
      <c r="H26" s="60">
        <v>1833</v>
      </c>
      <c r="I26" s="82">
        <v>5223</v>
      </c>
      <c r="J26" s="132">
        <v>1500</v>
      </c>
      <c r="Q26">
        <v>126112</v>
      </c>
    </row>
    <row r="27" spans="2:17" x14ac:dyDescent="0.3">
      <c r="B27" s="11">
        <v>5208</v>
      </c>
      <c r="C27" s="2" t="s">
        <v>162</v>
      </c>
      <c r="D27" s="60"/>
      <c r="E27" s="60"/>
      <c r="F27" s="60"/>
      <c r="G27" s="60">
        <v>2113</v>
      </c>
      <c r="H27" s="60">
        <v>2939</v>
      </c>
      <c r="I27" s="82">
        <v>3240</v>
      </c>
      <c r="J27" s="132">
        <v>1620</v>
      </c>
      <c r="Q27">
        <v>5150</v>
      </c>
    </row>
    <row r="28" spans="2:17" x14ac:dyDescent="0.3">
      <c r="B28" s="11">
        <v>5210</v>
      </c>
      <c r="C28" s="2" t="s">
        <v>45</v>
      </c>
      <c r="D28" s="60">
        <f>8804.83+1621.92</f>
        <v>10426.75</v>
      </c>
      <c r="E28" s="60">
        <v>9736</v>
      </c>
      <c r="F28" s="60">
        <v>196.8</v>
      </c>
      <c r="G28" s="60">
        <v>4053</v>
      </c>
      <c r="H28" s="60">
        <v>10110</v>
      </c>
      <c r="I28" s="82">
        <v>8186</v>
      </c>
      <c r="J28" s="132">
        <v>1875</v>
      </c>
      <c r="Q28">
        <v>7605</v>
      </c>
    </row>
    <row r="29" spans="2:17" x14ac:dyDescent="0.3">
      <c r="B29" s="11">
        <v>5215</v>
      </c>
      <c r="C29" s="2" t="s">
        <v>192</v>
      </c>
      <c r="D29" s="60"/>
      <c r="E29" s="60"/>
      <c r="F29" s="60">
        <v>0</v>
      </c>
      <c r="G29" s="60">
        <v>2280</v>
      </c>
      <c r="H29" s="60">
        <v>1074</v>
      </c>
      <c r="I29" s="82"/>
      <c r="J29" s="132">
        <v>375</v>
      </c>
      <c r="Q29">
        <v>320949</v>
      </c>
    </row>
    <row r="30" spans="2:17" x14ac:dyDescent="0.3">
      <c r="B30" s="11">
        <v>5217</v>
      </c>
      <c r="C30" s="2" t="s">
        <v>222</v>
      </c>
      <c r="D30" s="60"/>
      <c r="E30" s="60"/>
      <c r="F30" s="60"/>
      <c r="G30" s="60"/>
      <c r="H30" s="60"/>
      <c r="I30" s="82">
        <v>2394</v>
      </c>
      <c r="J30" s="132">
        <v>625</v>
      </c>
      <c r="Q30">
        <v>31778</v>
      </c>
    </row>
    <row r="31" spans="2:17" x14ac:dyDescent="0.3">
      <c r="B31" s="11">
        <v>5220</v>
      </c>
      <c r="C31" s="2" t="s">
        <v>193</v>
      </c>
      <c r="D31" s="60">
        <f>5925.79+180+21254.29+1202.27</f>
        <v>28562.350000000002</v>
      </c>
      <c r="E31" s="60">
        <v>11697</v>
      </c>
      <c r="F31" s="60">
        <v>1496.1</v>
      </c>
      <c r="G31" s="60">
        <v>18224</v>
      </c>
      <c r="H31" s="60">
        <v>21654</v>
      </c>
      <c r="I31" s="82">
        <v>9972</v>
      </c>
      <c r="J31" s="132">
        <v>1750</v>
      </c>
      <c r="Q31">
        <v>43371</v>
      </c>
    </row>
    <row r="32" spans="2:17" x14ac:dyDescent="0.3">
      <c r="B32" s="11">
        <v>5225</v>
      </c>
      <c r="C32" s="2" t="s">
        <v>163</v>
      </c>
      <c r="D32" s="60"/>
      <c r="E32" s="60"/>
      <c r="F32" s="60"/>
      <c r="G32" s="60">
        <v>0</v>
      </c>
      <c r="H32" s="60">
        <v>779</v>
      </c>
      <c r="I32" s="82">
        <v>577</v>
      </c>
      <c r="J32" s="132">
        <v>275</v>
      </c>
      <c r="Q32">
        <v>7350</v>
      </c>
    </row>
    <row r="33" spans="2:17" x14ac:dyDescent="0.3">
      <c r="B33" s="11">
        <v>5240</v>
      </c>
      <c r="C33" s="2" t="s">
        <v>46</v>
      </c>
      <c r="D33" s="60">
        <f>180+389.49+250+3444.79+1631.79+16601.57+1230.38</f>
        <v>23728.02</v>
      </c>
      <c r="E33" s="60">
        <v>15627</v>
      </c>
      <c r="F33" s="60">
        <v>1278</v>
      </c>
      <c r="G33" s="60">
        <f>7278+112</f>
        <v>7390</v>
      </c>
      <c r="H33" s="60">
        <v>8495</v>
      </c>
      <c r="I33" s="82">
        <v>1876</v>
      </c>
      <c r="J33" s="132">
        <v>875</v>
      </c>
      <c r="Q33">
        <f>SUM(Q25:Q32)</f>
        <v>774448</v>
      </c>
    </row>
    <row r="34" spans="2:17" x14ac:dyDescent="0.3">
      <c r="B34" s="11"/>
      <c r="C34" s="2" t="s">
        <v>42</v>
      </c>
      <c r="D34" s="60"/>
      <c r="E34" s="60"/>
      <c r="F34" s="60"/>
      <c r="G34" s="60"/>
      <c r="H34" s="60"/>
      <c r="I34" s="82"/>
      <c r="J34" s="132"/>
    </row>
    <row r="35" spans="2:17" x14ac:dyDescent="0.3">
      <c r="B35" s="11"/>
      <c r="C35" s="152" t="s">
        <v>47</v>
      </c>
      <c r="D35" s="155">
        <f>411.55+658.5</f>
        <v>1070.05</v>
      </c>
      <c r="E35" s="155">
        <v>60</v>
      </c>
      <c r="F35" s="155">
        <v>11.75</v>
      </c>
      <c r="G35" s="155"/>
      <c r="H35" s="155"/>
      <c r="I35" s="156"/>
      <c r="J35" s="177">
        <v>3000</v>
      </c>
    </row>
    <row r="36" spans="2:17" x14ac:dyDescent="0.3">
      <c r="B36" s="11"/>
      <c r="C36" s="153" t="s">
        <v>164</v>
      </c>
      <c r="D36" s="157"/>
      <c r="E36" s="157"/>
      <c r="F36" s="157"/>
      <c r="G36" s="157">
        <v>3395</v>
      </c>
      <c r="H36" s="157">
        <v>500</v>
      </c>
      <c r="I36" s="158">
        <v>1500</v>
      </c>
      <c r="J36" s="132">
        <v>1500</v>
      </c>
    </row>
    <row r="37" spans="2:17" x14ac:dyDescent="0.3">
      <c r="B37" s="11"/>
      <c r="C37" s="154" t="s">
        <v>48</v>
      </c>
      <c r="D37" s="159">
        <v>1514</v>
      </c>
      <c r="E37" s="159"/>
      <c r="F37" s="159"/>
      <c r="G37" s="159"/>
      <c r="H37" s="159"/>
      <c r="I37" s="160"/>
      <c r="J37" s="178">
        <v>2500</v>
      </c>
    </row>
    <row r="38" spans="2:17" x14ac:dyDescent="0.3">
      <c r="B38" s="11">
        <v>5260</v>
      </c>
      <c r="C38" s="2" t="s">
        <v>197</v>
      </c>
      <c r="D38" s="60">
        <v>1369.49</v>
      </c>
      <c r="E38" s="60">
        <v>1761</v>
      </c>
      <c r="F38" s="60">
        <v>2764.77</v>
      </c>
      <c r="G38" s="60">
        <v>1209</v>
      </c>
      <c r="H38" s="60">
        <v>700</v>
      </c>
      <c r="I38" s="82">
        <v>1800</v>
      </c>
      <c r="J38" s="132">
        <v>0</v>
      </c>
    </row>
    <row r="39" spans="2:17" x14ac:dyDescent="0.3">
      <c r="B39" s="11">
        <v>5280</v>
      </c>
      <c r="C39" s="2" t="s">
        <v>196</v>
      </c>
      <c r="D39" s="60"/>
      <c r="E39" s="60"/>
      <c r="F39" s="60"/>
      <c r="G39" s="60">
        <v>845</v>
      </c>
      <c r="H39" s="60">
        <v>775</v>
      </c>
      <c r="I39" s="82">
        <v>841</v>
      </c>
      <c r="J39" s="132">
        <v>500</v>
      </c>
    </row>
    <row r="40" spans="2:17" x14ac:dyDescent="0.3">
      <c r="B40" s="11">
        <v>5281</v>
      </c>
      <c r="C40" s="2" t="s">
        <v>195</v>
      </c>
      <c r="D40" s="10"/>
      <c r="E40" s="21"/>
      <c r="F40" s="21"/>
      <c r="G40" s="60">
        <v>520</v>
      </c>
      <c r="H40" s="60">
        <v>6589</v>
      </c>
      <c r="I40" s="82">
        <v>2000</v>
      </c>
      <c r="J40" s="132">
        <v>1000</v>
      </c>
    </row>
    <row r="41" spans="2:17" x14ac:dyDescent="0.3">
      <c r="B41" s="11">
        <v>5286</v>
      </c>
      <c r="C41" s="2" t="s">
        <v>165</v>
      </c>
      <c r="D41" s="60">
        <f>2460.36+23.78</f>
        <v>2484.1400000000003</v>
      </c>
      <c r="E41" s="60">
        <v>618</v>
      </c>
      <c r="F41" s="60">
        <v>1138.48</v>
      </c>
      <c r="G41" s="60">
        <v>816</v>
      </c>
      <c r="H41" s="60">
        <v>1092</v>
      </c>
      <c r="I41" s="82">
        <v>2000</v>
      </c>
      <c r="J41" s="132">
        <v>1500</v>
      </c>
    </row>
    <row r="42" spans="2:17" x14ac:dyDescent="0.3">
      <c r="B42" s="11">
        <v>5288</v>
      </c>
      <c r="C42" s="2" t="s">
        <v>253</v>
      </c>
      <c r="D42" s="60"/>
      <c r="E42" s="60"/>
      <c r="F42" s="60"/>
      <c r="G42" s="60">
        <v>200</v>
      </c>
      <c r="H42" s="60">
        <v>150</v>
      </c>
      <c r="I42" s="82">
        <v>500</v>
      </c>
      <c r="J42" s="132">
        <v>500</v>
      </c>
    </row>
    <row r="43" spans="2:17" x14ac:dyDescent="0.3">
      <c r="B43" s="37" t="s">
        <v>14</v>
      </c>
      <c r="C43" s="38"/>
      <c r="D43" s="53">
        <f t="shared" ref="D43:J43" si="1">SUM(D25:D42)</f>
        <v>84495.750000000015</v>
      </c>
      <c r="E43" s="53">
        <f t="shared" si="1"/>
        <v>60631</v>
      </c>
      <c r="F43" s="53">
        <f t="shared" si="1"/>
        <v>9872.5499999999993</v>
      </c>
      <c r="G43" s="53">
        <f t="shared" si="1"/>
        <v>55780</v>
      </c>
      <c r="H43" s="53">
        <f>SUM(H25:H42)</f>
        <v>83261</v>
      </c>
      <c r="I43" s="71">
        <f t="shared" si="1"/>
        <v>62658</v>
      </c>
      <c r="J43" s="118">
        <f t="shared" si="1"/>
        <v>28695</v>
      </c>
    </row>
    <row r="45" spans="2:17" x14ac:dyDescent="0.3">
      <c r="B45" s="23" t="s">
        <v>37</v>
      </c>
      <c r="C45" s="24" t="str">
        <f>+B6</f>
        <v>VENUES AND MARKETS</v>
      </c>
      <c r="D45" s="53">
        <f>+D20-D43</f>
        <v>35989.239999999991</v>
      </c>
      <c r="E45" s="53">
        <f>+E20-E43</f>
        <v>57867</v>
      </c>
      <c r="F45" s="53">
        <f>+F20-F43</f>
        <v>9512.3500000000022</v>
      </c>
      <c r="G45" s="53">
        <f>+G20-G43</f>
        <v>26319</v>
      </c>
      <c r="H45" s="53">
        <f>H20-H43</f>
        <v>49743</v>
      </c>
      <c r="I45" s="71">
        <f>I20-I43</f>
        <v>49413</v>
      </c>
      <c r="J45" s="118">
        <f>J20-J43</f>
        <v>28230</v>
      </c>
    </row>
    <row r="46" spans="2:17" x14ac:dyDescent="0.3">
      <c r="G46" s="25"/>
      <c r="H46" s="25"/>
      <c r="I46" s="25"/>
      <c r="J46" s="25"/>
    </row>
  </sheetData>
  <mergeCells count="5">
    <mergeCell ref="B2:J2"/>
    <mergeCell ref="B3:J3"/>
    <mergeCell ref="B4:J4"/>
    <mergeCell ref="B5:J5"/>
    <mergeCell ref="B21:J21"/>
  </mergeCells>
  <pageMargins left="0.7" right="0.7" top="0.75" bottom="0.75" header="0.3" footer="0.3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7CA6-809B-4A03-A3D6-1A569FCA3DC6}">
  <sheetPr codeName="Sheet7">
    <pageSetUpPr fitToPage="1"/>
  </sheetPr>
  <dimension ref="B2:J43"/>
  <sheetViews>
    <sheetView topLeftCell="A8" workbookViewId="0">
      <selection activeCell="J32" sqref="J32"/>
    </sheetView>
  </sheetViews>
  <sheetFormatPr defaultRowHeight="14.4" x14ac:dyDescent="0.3"/>
  <cols>
    <col min="1" max="1" width="2.5546875" customWidth="1"/>
    <col min="2" max="2" width="8.6640625" customWidth="1"/>
    <col min="3" max="3" width="21.6640625" customWidth="1"/>
    <col min="4" max="10" width="11.6640625" customWidth="1"/>
    <col min="11" max="11" width="3" customWidth="1"/>
  </cols>
  <sheetData>
    <row r="2" spans="2:10" ht="18" x14ac:dyDescent="0.35">
      <c r="B2" s="234" t="s">
        <v>1</v>
      </c>
      <c r="C2" s="235"/>
      <c r="D2" s="235"/>
      <c r="E2" s="235"/>
      <c r="F2" s="235"/>
      <c r="G2" s="235"/>
      <c r="H2" s="235"/>
      <c r="I2" s="235"/>
      <c r="J2" s="236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214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26" t="s">
        <v>239</v>
      </c>
      <c r="C6" s="27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29" t="s">
        <v>12</v>
      </c>
      <c r="E8" s="29" t="s">
        <v>12</v>
      </c>
      <c r="F8" s="29" t="s">
        <v>12</v>
      </c>
      <c r="G8" s="29" t="s">
        <v>12</v>
      </c>
      <c r="H8" s="29" t="s">
        <v>12</v>
      </c>
      <c r="I8" s="74" t="s">
        <v>12</v>
      </c>
      <c r="J8" s="128" t="s">
        <v>12</v>
      </c>
    </row>
    <row r="9" spans="2:10" x14ac:dyDescent="0.3">
      <c r="B9" s="49">
        <v>4300</v>
      </c>
      <c r="C9" s="46" t="s">
        <v>76</v>
      </c>
      <c r="D9" s="65">
        <f>1623.82</f>
        <v>1623.82</v>
      </c>
      <c r="E9" s="65">
        <v>0</v>
      </c>
      <c r="F9" s="65">
        <v>55</v>
      </c>
      <c r="G9" s="65">
        <v>2225</v>
      </c>
      <c r="H9" s="65">
        <v>1052</v>
      </c>
      <c r="I9" s="75">
        <v>0</v>
      </c>
      <c r="J9" s="123">
        <v>0</v>
      </c>
    </row>
    <row r="10" spans="2:10" x14ac:dyDescent="0.3">
      <c r="B10" s="49"/>
      <c r="C10" s="46" t="s">
        <v>252</v>
      </c>
      <c r="D10" s="65"/>
      <c r="E10" s="65"/>
      <c r="F10" s="65"/>
      <c r="G10" s="65"/>
      <c r="H10" s="65"/>
      <c r="I10" s="75"/>
      <c r="J10" s="123">
        <v>2000</v>
      </c>
    </row>
    <row r="11" spans="2:10" x14ac:dyDescent="0.3">
      <c r="B11" s="49">
        <v>4310</v>
      </c>
      <c r="C11" s="54" t="s">
        <v>95</v>
      </c>
      <c r="D11" s="66">
        <v>0</v>
      </c>
      <c r="E11" s="66">
        <v>0</v>
      </c>
      <c r="F11" s="66">
        <v>70</v>
      </c>
      <c r="G11" s="66">
        <v>0</v>
      </c>
      <c r="H11" s="65"/>
      <c r="I11" s="75">
        <v>0</v>
      </c>
      <c r="J11" s="123">
        <v>2000</v>
      </c>
    </row>
    <row r="12" spans="2:10" x14ac:dyDescent="0.3">
      <c r="B12" s="37" t="s">
        <v>14</v>
      </c>
      <c r="C12" s="38"/>
      <c r="D12" s="53">
        <f t="shared" ref="D12:J12" si="0">SUM(D9:D11)</f>
        <v>1623.82</v>
      </c>
      <c r="E12" s="53">
        <f t="shared" si="0"/>
        <v>0</v>
      </c>
      <c r="F12" s="53">
        <f t="shared" si="0"/>
        <v>125</v>
      </c>
      <c r="G12" s="53">
        <f t="shared" si="0"/>
        <v>2225</v>
      </c>
      <c r="H12" s="53">
        <f t="shared" si="0"/>
        <v>1052</v>
      </c>
      <c r="I12" s="71">
        <f t="shared" si="0"/>
        <v>0</v>
      </c>
      <c r="J12" s="124">
        <f t="shared" si="0"/>
        <v>4000</v>
      </c>
    </row>
    <row r="13" spans="2:10" ht="15.6" x14ac:dyDescent="0.3">
      <c r="B13" s="252" t="s">
        <v>15</v>
      </c>
      <c r="C13" s="253"/>
      <c r="D13" s="253"/>
      <c r="E13" s="253"/>
      <c r="F13" s="253"/>
      <c r="G13" s="253"/>
      <c r="H13" s="253"/>
      <c r="I13" s="253"/>
      <c r="J13" s="254"/>
    </row>
    <row r="14" spans="2:10" x14ac:dyDescent="0.3">
      <c r="B14" s="1" t="str">
        <f>+B6</f>
        <v>HERITAGE &amp; EVENTS</v>
      </c>
      <c r="C14" s="39"/>
      <c r="D14" s="16" t="s">
        <v>3</v>
      </c>
      <c r="E14" s="16" t="s">
        <v>4</v>
      </c>
      <c r="F14" s="16" t="s">
        <v>5</v>
      </c>
      <c r="G14" s="16" t="s">
        <v>6</v>
      </c>
      <c r="H14" s="16" t="s">
        <v>7</v>
      </c>
      <c r="I14" s="68" t="s">
        <v>199</v>
      </c>
      <c r="J14" s="131" t="s">
        <v>215</v>
      </c>
    </row>
    <row r="15" spans="2:10" ht="28.8" x14ac:dyDescent="0.3">
      <c r="B15" s="1" t="str">
        <f>+B7</f>
        <v>N/C</v>
      </c>
      <c r="C15" s="5" t="str">
        <f t="shared" ref="C15" si="1">+C7</f>
        <v>NAME</v>
      </c>
      <c r="D15" s="83" t="s">
        <v>10</v>
      </c>
      <c r="E15" s="83" t="s">
        <v>10</v>
      </c>
      <c r="F15" s="83" t="s">
        <v>10</v>
      </c>
      <c r="G15" s="83" t="s">
        <v>10</v>
      </c>
      <c r="H15" s="83" t="s">
        <v>10</v>
      </c>
      <c r="I15" s="173" t="s">
        <v>181</v>
      </c>
      <c r="J15" s="174" t="s">
        <v>200</v>
      </c>
    </row>
    <row r="16" spans="2:10" x14ac:dyDescent="0.3">
      <c r="B16" s="1"/>
      <c r="C16" s="5"/>
      <c r="D16" s="29" t="str">
        <f t="shared" ref="D16:F16" si="2">+D8</f>
        <v>£</v>
      </c>
      <c r="E16" s="150" t="str">
        <f t="shared" si="2"/>
        <v>£</v>
      </c>
      <c r="F16" s="29" t="str">
        <f t="shared" si="2"/>
        <v>£</v>
      </c>
      <c r="G16" s="29" t="s">
        <v>12</v>
      </c>
      <c r="H16" s="29" t="s">
        <v>12</v>
      </c>
      <c r="I16" s="74" t="s">
        <v>12</v>
      </c>
      <c r="J16" s="128" t="s">
        <v>12</v>
      </c>
    </row>
    <row r="17" spans="2:10" x14ac:dyDescent="0.3">
      <c r="B17" s="11">
        <v>5300</v>
      </c>
      <c r="C17" s="2" t="s">
        <v>49</v>
      </c>
      <c r="D17" s="65">
        <f>2550.82</f>
        <v>2550.8200000000002</v>
      </c>
      <c r="E17" s="55">
        <v>2850</v>
      </c>
      <c r="F17" s="65">
        <v>473.34</v>
      </c>
      <c r="G17" s="65">
        <v>977</v>
      </c>
      <c r="H17" s="65">
        <v>1617</v>
      </c>
      <c r="I17" s="75">
        <v>2601</v>
      </c>
      <c r="J17" s="123">
        <v>2601</v>
      </c>
    </row>
    <row r="18" spans="2:10" ht="15" thickBot="1" x14ac:dyDescent="0.35">
      <c r="B18" s="11">
        <v>5310</v>
      </c>
      <c r="C18" s="2" t="s">
        <v>153</v>
      </c>
      <c r="D18" s="65">
        <f>2135.52</f>
        <v>2135.52</v>
      </c>
      <c r="E18" s="55">
        <v>1814</v>
      </c>
      <c r="F18" s="65">
        <v>1.32</v>
      </c>
      <c r="G18" s="65">
        <v>693</v>
      </c>
      <c r="H18" s="65">
        <v>420</v>
      </c>
      <c r="I18" s="75">
        <v>1874</v>
      </c>
      <c r="J18" s="123">
        <f>SUM(J19:J23)</f>
        <v>4800</v>
      </c>
    </row>
    <row r="19" spans="2:10" x14ac:dyDescent="0.3">
      <c r="B19" s="11"/>
      <c r="C19" s="206" t="s">
        <v>224</v>
      </c>
      <c r="D19" s="197"/>
      <c r="E19" s="213"/>
      <c r="F19" s="197"/>
      <c r="G19" s="197"/>
      <c r="H19" s="197"/>
      <c r="I19" s="214"/>
      <c r="J19" s="215">
        <v>1000</v>
      </c>
    </row>
    <row r="20" spans="2:10" x14ac:dyDescent="0.3">
      <c r="B20" s="11"/>
      <c r="C20" s="209" t="s">
        <v>225</v>
      </c>
      <c r="D20" s="200"/>
      <c r="E20" s="216"/>
      <c r="F20" s="200"/>
      <c r="G20" s="200"/>
      <c r="H20" s="200"/>
      <c r="I20" s="97"/>
      <c r="J20" s="217">
        <v>1400</v>
      </c>
    </row>
    <row r="21" spans="2:10" x14ac:dyDescent="0.3">
      <c r="B21" s="11"/>
      <c r="C21" s="209" t="s">
        <v>226</v>
      </c>
      <c r="D21" s="200"/>
      <c r="E21" s="216"/>
      <c r="F21" s="200"/>
      <c r="G21" s="200"/>
      <c r="H21" s="200"/>
      <c r="I21" s="97"/>
      <c r="J21" s="217">
        <v>300</v>
      </c>
    </row>
    <row r="22" spans="2:10" x14ac:dyDescent="0.3">
      <c r="B22" s="11"/>
      <c r="C22" s="209" t="s">
        <v>227</v>
      </c>
      <c r="D22" s="200"/>
      <c r="E22" s="216"/>
      <c r="F22" s="200"/>
      <c r="G22" s="200"/>
      <c r="H22" s="200"/>
      <c r="I22" s="97"/>
      <c r="J22" s="217">
        <v>100</v>
      </c>
    </row>
    <row r="23" spans="2:10" ht="15" thickBot="1" x14ac:dyDescent="0.35">
      <c r="B23" s="11"/>
      <c r="C23" s="222" t="s">
        <v>228</v>
      </c>
      <c r="D23" s="203"/>
      <c r="E23" s="218"/>
      <c r="F23" s="203"/>
      <c r="G23" s="203"/>
      <c r="H23" s="203"/>
      <c r="I23" s="219"/>
      <c r="J23" s="220">
        <v>2000</v>
      </c>
    </row>
    <row r="24" spans="2:10" ht="15" thickBot="1" x14ac:dyDescent="0.35">
      <c r="B24" s="11">
        <v>5320</v>
      </c>
      <c r="C24" s="2" t="s">
        <v>50</v>
      </c>
      <c r="D24" s="65">
        <f>6.8+2040.79+1020+1859.91+85+2827.65+75+547.99</f>
        <v>8463.14</v>
      </c>
      <c r="E24" s="55">
        <v>3867</v>
      </c>
      <c r="F24" s="65">
        <v>435.65</v>
      </c>
      <c r="G24" s="65">
        <v>2170</v>
      </c>
      <c r="H24" s="65">
        <v>1730</v>
      </c>
      <c r="I24" s="75">
        <v>936</v>
      </c>
      <c r="J24" s="123">
        <v>2300</v>
      </c>
    </row>
    <row r="25" spans="2:10" x14ac:dyDescent="0.3">
      <c r="B25" s="11"/>
      <c r="C25" s="206" t="s">
        <v>229</v>
      </c>
      <c r="D25" s="197"/>
      <c r="E25" s="213"/>
      <c r="F25" s="197"/>
      <c r="G25" s="197"/>
      <c r="H25" s="197"/>
      <c r="I25" s="214"/>
      <c r="J25" s="215">
        <v>400</v>
      </c>
    </row>
    <row r="26" spans="2:10" x14ac:dyDescent="0.3">
      <c r="B26" s="11"/>
      <c r="C26" s="209" t="s">
        <v>230</v>
      </c>
      <c r="D26" s="200"/>
      <c r="E26" s="216"/>
      <c r="F26" s="200"/>
      <c r="G26" s="200"/>
      <c r="H26" s="200"/>
      <c r="I26" s="97"/>
      <c r="J26" s="217">
        <v>600</v>
      </c>
    </row>
    <row r="27" spans="2:10" ht="15" thickBot="1" x14ac:dyDescent="0.35">
      <c r="B27" s="11"/>
      <c r="C27" s="222" t="s">
        <v>231</v>
      </c>
      <c r="D27" s="203"/>
      <c r="E27" s="218"/>
      <c r="F27" s="203"/>
      <c r="G27" s="203"/>
      <c r="H27" s="203"/>
      <c r="I27" s="219"/>
      <c r="J27" s="220">
        <v>1300</v>
      </c>
    </row>
    <row r="28" spans="2:10" x14ac:dyDescent="0.3">
      <c r="B28" s="11">
        <v>5325</v>
      </c>
      <c r="C28" s="2" t="s">
        <v>51</v>
      </c>
      <c r="D28" s="65">
        <f>271.95</f>
        <v>271.95</v>
      </c>
      <c r="E28" s="55"/>
      <c r="F28" s="65"/>
      <c r="G28" s="65">
        <v>612</v>
      </c>
      <c r="H28" s="65">
        <v>1385</v>
      </c>
      <c r="I28" s="75">
        <v>947</v>
      </c>
      <c r="J28" s="123">
        <v>1200</v>
      </c>
    </row>
    <row r="29" spans="2:10" ht="15" thickBot="1" x14ac:dyDescent="0.35">
      <c r="B29" s="11">
        <v>5326</v>
      </c>
      <c r="C29" s="2" t="s">
        <v>152</v>
      </c>
      <c r="D29" s="65"/>
      <c r="E29" s="55"/>
      <c r="F29" s="65"/>
      <c r="G29" s="65">
        <v>296</v>
      </c>
      <c r="H29" s="65">
        <v>5010</v>
      </c>
      <c r="I29" s="75">
        <v>11961</v>
      </c>
      <c r="J29" s="123">
        <f>SUM(J30:J35)</f>
        <v>10000</v>
      </c>
    </row>
    <row r="30" spans="2:10" x14ac:dyDescent="0.3">
      <c r="B30" s="11"/>
      <c r="C30" s="206" t="s">
        <v>232</v>
      </c>
      <c r="D30" s="195"/>
      <c r="E30" s="207"/>
      <c r="F30" s="195"/>
      <c r="G30" s="195"/>
      <c r="H30" s="195"/>
      <c r="I30" s="208"/>
      <c r="J30" s="215">
        <v>1000</v>
      </c>
    </row>
    <row r="31" spans="2:10" x14ac:dyDescent="0.3">
      <c r="B31" s="11"/>
      <c r="C31" s="209" t="s">
        <v>233</v>
      </c>
      <c r="D31" s="65"/>
      <c r="E31" s="210"/>
      <c r="F31" s="65"/>
      <c r="G31" s="65"/>
      <c r="H31" s="65"/>
      <c r="I31" s="75"/>
      <c r="J31" s="217">
        <v>3000</v>
      </c>
    </row>
    <row r="32" spans="2:10" x14ac:dyDescent="0.3">
      <c r="B32" s="11"/>
      <c r="C32" s="209" t="s">
        <v>234</v>
      </c>
      <c r="D32" s="65"/>
      <c r="E32" s="210"/>
      <c r="F32" s="65"/>
      <c r="G32" s="65"/>
      <c r="H32" s="65"/>
      <c r="I32" s="75"/>
      <c r="J32" s="217">
        <v>1000</v>
      </c>
    </row>
    <row r="33" spans="2:10" x14ac:dyDescent="0.3">
      <c r="B33" s="11"/>
      <c r="C33" s="209" t="s">
        <v>235</v>
      </c>
      <c r="D33" s="65"/>
      <c r="E33" s="210"/>
      <c r="F33" s="65"/>
      <c r="G33" s="65"/>
      <c r="H33" s="65"/>
      <c r="I33" s="75"/>
      <c r="J33" s="217">
        <v>1000</v>
      </c>
    </row>
    <row r="34" spans="2:10" x14ac:dyDescent="0.3">
      <c r="B34" s="11"/>
      <c r="C34" s="209" t="s">
        <v>236</v>
      </c>
      <c r="D34" s="65"/>
      <c r="E34" s="210"/>
      <c r="F34" s="65"/>
      <c r="G34" s="65"/>
      <c r="H34" s="65"/>
      <c r="I34" s="75"/>
      <c r="J34" s="217">
        <v>500</v>
      </c>
    </row>
    <row r="35" spans="2:10" ht="15" thickBot="1" x14ac:dyDescent="0.35">
      <c r="B35" s="11"/>
      <c r="C35" s="222" t="s">
        <v>237</v>
      </c>
      <c r="D35" s="196"/>
      <c r="E35" s="211"/>
      <c r="F35" s="196"/>
      <c r="G35" s="196"/>
      <c r="H35" s="196"/>
      <c r="I35" s="212"/>
      <c r="J35" s="220">
        <v>3500</v>
      </c>
    </row>
    <row r="36" spans="2:10" x14ac:dyDescent="0.3">
      <c r="B36" s="11">
        <v>5327</v>
      </c>
      <c r="C36" s="2" t="s">
        <v>240</v>
      </c>
      <c r="D36" s="65"/>
      <c r="E36" s="210"/>
      <c r="F36" s="65"/>
      <c r="G36" s="65"/>
      <c r="H36" s="65">
        <v>3142</v>
      </c>
      <c r="I36" s="75"/>
      <c r="J36" s="221"/>
    </row>
    <row r="37" spans="2:10" x14ac:dyDescent="0.3">
      <c r="B37" s="11">
        <v>5328</v>
      </c>
      <c r="C37" s="2" t="s">
        <v>119</v>
      </c>
      <c r="D37" s="10"/>
      <c r="E37" s="151"/>
      <c r="F37" s="10"/>
      <c r="G37" s="57">
        <v>0</v>
      </c>
      <c r="H37" s="57"/>
      <c r="I37" s="75"/>
      <c r="J37" s="123">
        <v>100</v>
      </c>
    </row>
    <row r="38" spans="2:10" x14ac:dyDescent="0.3">
      <c r="B38" s="11">
        <v>5329</v>
      </c>
      <c r="C38" s="2" t="s">
        <v>238</v>
      </c>
      <c r="D38" s="65"/>
      <c r="E38" s="65"/>
      <c r="F38" s="65"/>
      <c r="G38" s="65"/>
      <c r="H38" s="65">
        <v>20338</v>
      </c>
      <c r="I38" s="75">
        <v>21000</v>
      </c>
      <c r="J38" s="123">
        <v>24150</v>
      </c>
    </row>
    <row r="39" spans="2:10" x14ac:dyDescent="0.3">
      <c r="B39" s="11">
        <v>5329</v>
      </c>
      <c r="C39" s="2" t="s">
        <v>241</v>
      </c>
      <c r="D39" s="66"/>
      <c r="E39" s="66"/>
      <c r="F39" s="66"/>
      <c r="G39" s="66"/>
      <c r="H39" s="65">
        <v>1500</v>
      </c>
      <c r="I39" s="75"/>
      <c r="J39" s="123"/>
    </row>
    <row r="40" spans="2:10" x14ac:dyDescent="0.3">
      <c r="B40" s="37" t="s">
        <v>14</v>
      </c>
      <c r="C40" s="38"/>
      <c r="D40" s="53">
        <f t="shared" ref="D40:I40" si="3">SUM(D17:D39)</f>
        <v>13421.43</v>
      </c>
      <c r="E40" s="53">
        <f t="shared" si="3"/>
        <v>8531</v>
      </c>
      <c r="F40" s="53">
        <f t="shared" si="3"/>
        <v>910.31</v>
      </c>
      <c r="G40" s="53">
        <f t="shared" si="3"/>
        <v>4748</v>
      </c>
      <c r="H40" s="53">
        <f t="shared" si="3"/>
        <v>35142</v>
      </c>
      <c r="I40" s="71">
        <f t="shared" si="3"/>
        <v>39319</v>
      </c>
      <c r="J40" s="124">
        <f>J17+J18+J24+J28+J29+J37+J38</f>
        <v>45151</v>
      </c>
    </row>
    <row r="41" spans="2:10" x14ac:dyDescent="0.3">
      <c r="B41" s="46"/>
      <c r="C41" s="46"/>
      <c r="D41" s="46"/>
      <c r="E41" s="46"/>
      <c r="F41" s="46"/>
      <c r="G41" s="46"/>
      <c r="H41" s="46"/>
      <c r="I41" s="46"/>
      <c r="J41" s="46"/>
    </row>
    <row r="42" spans="2:10" x14ac:dyDescent="0.3">
      <c r="B42" s="47" t="s">
        <v>175</v>
      </c>
      <c r="C42" s="48"/>
      <c r="D42" s="53">
        <f>+D12-D40</f>
        <v>-11797.61</v>
      </c>
      <c r="E42" s="53">
        <f>+E12-E40</f>
        <v>-8531</v>
      </c>
      <c r="F42" s="53">
        <f>+F12-F40</f>
        <v>-785.31</v>
      </c>
      <c r="G42" s="53">
        <f>G12-G40</f>
        <v>-2523</v>
      </c>
      <c r="H42" s="53">
        <f>H12-H40</f>
        <v>-34090</v>
      </c>
      <c r="I42" s="71">
        <f>I12-I40</f>
        <v>-39319</v>
      </c>
      <c r="J42" s="124">
        <f>+J12-J40</f>
        <v>-41151</v>
      </c>
    </row>
    <row r="43" spans="2:10" x14ac:dyDescent="0.3">
      <c r="J43" s="25"/>
    </row>
  </sheetData>
  <mergeCells count="5">
    <mergeCell ref="B2:J2"/>
    <mergeCell ref="B3:J3"/>
    <mergeCell ref="B4:J4"/>
    <mergeCell ref="B5:J5"/>
    <mergeCell ref="B13:J13"/>
  </mergeCells>
  <pageMargins left="0.7" right="0.7" top="0.75" bottom="0.75" header="0.3" footer="0.3"/>
  <pageSetup paperSize="9" scale="8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C2D7C-7F30-47FF-B9F2-73B67700FFD7}">
  <sheetPr codeName="Sheet9">
    <pageSetUpPr fitToPage="1"/>
  </sheetPr>
  <dimension ref="B2:J36"/>
  <sheetViews>
    <sheetView topLeftCell="A11" workbookViewId="0">
      <selection activeCell="J24" sqref="J24"/>
    </sheetView>
  </sheetViews>
  <sheetFormatPr defaultRowHeight="14.4" x14ac:dyDescent="0.3"/>
  <cols>
    <col min="1" max="1" width="1.5546875" customWidth="1"/>
    <col min="2" max="2" width="7.88671875" customWidth="1"/>
    <col min="3" max="3" width="24.6640625" customWidth="1"/>
    <col min="4" max="10" width="10.6640625" customWidth="1"/>
    <col min="11" max="11" width="2" customWidth="1"/>
  </cols>
  <sheetData>
    <row r="2" spans="2:10" ht="18" x14ac:dyDescent="0.35">
      <c r="B2" s="234" t="s">
        <v>1</v>
      </c>
      <c r="C2" s="250"/>
      <c r="D2" s="250"/>
      <c r="E2" s="250"/>
      <c r="F2" s="250"/>
      <c r="G2" s="250"/>
      <c r="H2" s="250"/>
      <c r="I2" s="250"/>
      <c r="J2" s="251"/>
    </row>
    <row r="3" spans="2:10" ht="18" x14ac:dyDescent="0.35">
      <c r="B3" s="237" t="s">
        <v>180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198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26" t="s">
        <v>62</v>
      </c>
      <c r="C6" s="27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161" t="s">
        <v>12</v>
      </c>
      <c r="E8" s="161" t="s">
        <v>12</v>
      </c>
      <c r="F8" s="161" t="s">
        <v>12</v>
      </c>
      <c r="G8" s="161" t="s">
        <v>12</v>
      </c>
      <c r="H8" s="161" t="s">
        <v>12</v>
      </c>
      <c r="I8" s="74" t="s">
        <v>12</v>
      </c>
      <c r="J8" s="162" t="s">
        <v>12</v>
      </c>
    </row>
    <row r="9" spans="2:10" x14ac:dyDescent="0.3">
      <c r="B9" s="32"/>
      <c r="C9" s="5"/>
      <c r="D9" s="7"/>
      <c r="E9" s="7"/>
      <c r="F9" s="7"/>
      <c r="G9" s="7"/>
      <c r="H9" s="7"/>
      <c r="I9" s="69"/>
      <c r="J9" s="126"/>
    </row>
    <row r="10" spans="2:10" x14ac:dyDescent="0.3">
      <c r="B10" s="11">
        <v>4500</v>
      </c>
      <c r="C10" s="2" t="s">
        <v>79</v>
      </c>
      <c r="D10" s="57">
        <f>320+24870+3820</f>
        <v>29010</v>
      </c>
      <c r="E10" s="57">
        <v>25360</v>
      </c>
      <c r="F10" s="57">
        <v>26940</v>
      </c>
      <c r="G10" s="57">
        <v>24902</v>
      </c>
      <c r="H10" s="57">
        <v>22955</v>
      </c>
      <c r="I10" s="80">
        <v>9515</v>
      </c>
      <c r="J10" s="117">
        <v>14100</v>
      </c>
    </row>
    <row r="11" spans="2:10" x14ac:dyDescent="0.3">
      <c r="B11" s="11">
        <v>4510</v>
      </c>
      <c r="C11" s="2" t="s">
        <v>80</v>
      </c>
      <c r="D11" s="57">
        <f>9450+3990</f>
        <v>13440</v>
      </c>
      <c r="E11" s="57">
        <v>14591</v>
      </c>
      <c r="F11" s="57">
        <v>13715</v>
      </c>
      <c r="G11" s="57">
        <v>12757</v>
      </c>
      <c r="H11" s="57">
        <v>16157</v>
      </c>
      <c r="I11" s="80">
        <v>8488</v>
      </c>
      <c r="J11" s="117">
        <v>11990</v>
      </c>
    </row>
    <row r="12" spans="2:10" x14ac:dyDescent="0.3">
      <c r="B12" s="11">
        <v>4515</v>
      </c>
      <c r="C12" s="2" t="s">
        <v>159</v>
      </c>
      <c r="D12" s="57">
        <v>0</v>
      </c>
      <c r="E12" s="57">
        <v>0</v>
      </c>
      <c r="F12" s="57">
        <v>300</v>
      </c>
      <c r="G12" s="57">
        <v>200</v>
      </c>
      <c r="H12" s="57">
        <v>0</v>
      </c>
      <c r="I12" s="80">
        <v>0</v>
      </c>
      <c r="J12" s="117">
        <v>0</v>
      </c>
    </row>
    <row r="13" spans="2:10" x14ac:dyDescent="0.3">
      <c r="B13" s="49">
        <v>4520</v>
      </c>
      <c r="C13" s="46" t="s">
        <v>81</v>
      </c>
      <c r="D13" s="57">
        <f>180+100+4090+1100+1300+37+37</f>
        <v>6844</v>
      </c>
      <c r="E13" s="57">
        <v>9543</v>
      </c>
      <c r="F13" s="57">
        <v>6425</v>
      </c>
      <c r="G13" s="57">
        <v>10425</v>
      </c>
      <c r="H13" s="57">
        <v>7980</v>
      </c>
      <c r="I13" s="80">
        <v>9454</v>
      </c>
      <c r="J13" s="117">
        <v>8000</v>
      </c>
    </row>
    <row r="14" spans="2:10" x14ac:dyDescent="0.3">
      <c r="B14" s="49">
        <v>4525</v>
      </c>
      <c r="C14" s="46" t="s">
        <v>245</v>
      </c>
      <c r="D14" s="57">
        <v>0</v>
      </c>
      <c r="E14" s="57">
        <v>0</v>
      </c>
      <c r="F14" s="57">
        <v>0</v>
      </c>
      <c r="G14" s="57">
        <v>0</v>
      </c>
      <c r="H14" s="57">
        <v>797</v>
      </c>
      <c r="I14" s="80"/>
      <c r="J14" s="117"/>
    </row>
    <row r="15" spans="2:10" x14ac:dyDescent="0.3">
      <c r="B15" s="49">
        <v>4530</v>
      </c>
      <c r="C15" s="46" t="s">
        <v>82</v>
      </c>
      <c r="D15" s="57">
        <f>1105</f>
        <v>1105</v>
      </c>
      <c r="E15" s="57">
        <v>1120</v>
      </c>
      <c r="F15" s="57">
        <v>560</v>
      </c>
      <c r="G15" s="57">
        <v>1225</v>
      </c>
      <c r="H15" s="57">
        <v>980</v>
      </c>
      <c r="I15" s="80">
        <v>1176</v>
      </c>
      <c r="J15" s="117">
        <v>1100</v>
      </c>
    </row>
    <row r="16" spans="2:10" x14ac:dyDescent="0.3">
      <c r="B16" s="42"/>
      <c r="C16" s="43"/>
      <c r="D16" s="59"/>
      <c r="E16" s="59"/>
      <c r="F16" s="59"/>
      <c r="G16" s="59"/>
      <c r="H16" s="59"/>
      <c r="I16" s="81"/>
      <c r="J16" s="127"/>
    </row>
    <row r="17" spans="2:10" x14ac:dyDescent="0.3">
      <c r="B17" s="37" t="s">
        <v>14</v>
      </c>
      <c r="C17" s="38"/>
      <c r="D17" s="56">
        <f t="shared" ref="D17:J17" si="0">SUM(D10:D16)</f>
        <v>50399</v>
      </c>
      <c r="E17" s="56">
        <f t="shared" si="0"/>
        <v>50614</v>
      </c>
      <c r="F17" s="56">
        <f t="shared" si="0"/>
        <v>47940</v>
      </c>
      <c r="G17" s="56">
        <f>SUM(G10:G16)</f>
        <v>49509</v>
      </c>
      <c r="H17" s="56">
        <f>SUM(H10:H16)</f>
        <v>48869</v>
      </c>
      <c r="I17" s="71">
        <f t="shared" ref="I17" si="1">SUM(I10:I16)</f>
        <v>28633</v>
      </c>
      <c r="J17" s="118">
        <f t="shared" si="0"/>
        <v>35190</v>
      </c>
    </row>
    <row r="18" spans="2:10" ht="15.6" x14ac:dyDescent="0.3">
      <c r="B18" s="252" t="s">
        <v>15</v>
      </c>
      <c r="C18" s="253"/>
      <c r="D18" s="253"/>
      <c r="E18" s="253"/>
      <c r="F18" s="253"/>
      <c r="G18" s="253"/>
      <c r="H18" s="253"/>
      <c r="I18" s="253"/>
      <c r="J18" s="254"/>
    </row>
    <row r="19" spans="2:10" x14ac:dyDescent="0.3">
      <c r="B19" s="1" t="str">
        <f>+B6</f>
        <v>CEMETERY</v>
      </c>
      <c r="C19" s="39"/>
      <c r="D19" s="29" t="str">
        <f t="shared" ref="D19:F19" si="2">+D6</f>
        <v>2018-19</v>
      </c>
      <c r="E19" s="29" t="str">
        <f t="shared" si="2"/>
        <v>2019-20</v>
      </c>
      <c r="F19" s="29" t="str">
        <f t="shared" si="2"/>
        <v>2020-21</v>
      </c>
      <c r="G19" s="29" t="s">
        <v>6</v>
      </c>
      <c r="H19" s="16" t="s">
        <v>7</v>
      </c>
      <c r="I19" s="68" t="s">
        <v>199</v>
      </c>
      <c r="J19" s="131" t="s">
        <v>215</v>
      </c>
    </row>
    <row r="20" spans="2:10" ht="28.8" x14ac:dyDescent="0.3">
      <c r="B20" s="1" t="str">
        <f>+B7</f>
        <v>N/C</v>
      </c>
      <c r="C20" s="5" t="str">
        <f t="shared" ref="C20:F20" si="3">+C7</f>
        <v>NAME</v>
      </c>
      <c r="D20" s="31" t="str">
        <f t="shared" si="3"/>
        <v>ACTUAL</v>
      </c>
      <c r="E20" s="31" t="str">
        <f t="shared" si="3"/>
        <v>ACTUAL</v>
      </c>
      <c r="F20" s="31" t="str">
        <f t="shared" si="3"/>
        <v>ACTUAL</v>
      </c>
      <c r="G20" s="83" t="s">
        <v>10</v>
      </c>
      <c r="H20" s="83" t="s">
        <v>10</v>
      </c>
      <c r="I20" s="173" t="s">
        <v>181</v>
      </c>
      <c r="J20" s="174" t="s">
        <v>200</v>
      </c>
    </row>
    <row r="21" spans="2:10" x14ac:dyDescent="0.3">
      <c r="B21" s="1"/>
      <c r="C21" s="5"/>
      <c r="D21" s="29" t="str">
        <f t="shared" ref="D21:J21" si="4">+D8</f>
        <v>£</v>
      </c>
      <c r="E21" s="29" t="str">
        <f t="shared" si="4"/>
        <v>£</v>
      </c>
      <c r="F21" s="29" t="str">
        <f t="shared" si="4"/>
        <v>£</v>
      </c>
      <c r="G21" s="29" t="s">
        <v>12</v>
      </c>
      <c r="H21" s="161" t="s">
        <v>12</v>
      </c>
      <c r="I21" s="74" t="s">
        <v>12</v>
      </c>
      <c r="J21" s="162" t="str">
        <f t="shared" si="4"/>
        <v>£</v>
      </c>
    </row>
    <row r="22" spans="2:10" x14ac:dyDescent="0.3">
      <c r="B22" s="11">
        <v>5500</v>
      </c>
      <c r="C22" s="2" t="s">
        <v>129</v>
      </c>
      <c r="D22" s="57">
        <f>1937.22+125.57</f>
        <v>2062.79</v>
      </c>
      <c r="E22" s="57">
        <v>3133</v>
      </c>
      <c r="F22" s="57">
        <v>1698.12</v>
      </c>
      <c r="G22" s="57">
        <v>20</v>
      </c>
      <c r="H22" s="57">
        <v>628</v>
      </c>
      <c r="I22" s="80">
        <v>1162</v>
      </c>
      <c r="J22" s="117">
        <v>1100</v>
      </c>
    </row>
    <row r="23" spans="2:10" x14ac:dyDescent="0.3">
      <c r="B23" s="11">
        <v>5505</v>
      </c>
      <c r="C23" s="2" t="s">
        <v>63</v>
      </c>
      <c r="D23" s="57">
        <v>4470</v>
      </c>
      <c r="E23" s="57">
        <v>0</v>
      </c>
      <c r="F23" s="57">
        <v>0</v>
      </c>
      <c r="G23" s="57">
        <v>0</v>
      </c>
      <c r="H23" s="57">
        <v>0</v>
      </c>
      <c r="I23" s="80">
        <v>0</v>
      </c>
      <c r="J23" s="117">
        <v>0</v>
      </c>
    </row>
    <row r="24" spans="2:10" x14ac:dyDescent="0.3">
      <c r="B24" s="11">
        <v>5510</v>
      </c>
      <c r="C24" s="2" t="s">
        <v>64</v>
      </c>
      <c r="D24" s="57">
        <f>2667.2+2352.17</f>
        <v>5019.37</v>
      </c>
      <c r="E24" s="57">
        <v>6389</v>
      </c>
      <c r="F24" s="57">
        <v>2495.84</v>
      </c>
      <c r="G24" s="57">
        <v>1314</v>
      </c>
      <c r="H24" s="57">
        <v>2614</v>
      </c>
      <c r="I24" s="80">
        <v>2551</v>
      </c>
      <c r="J24" s="117">
        <v>3600</v>
      </c>
    </row>
    <row r="25" spans="2:10" x14ac:dyDescent="0.3">
      <c r="B25" s="11">
        <v>5515</v>
      </c>
      <c r="C25" s="2" t="s">
        <v>160</v>
      </c>
      <c r="D25" s="57">
        <v>0</v>
      </c>
      <c r="E25" s="57">
        <v>0</v>
      </c>
      <c r="F25" s="57"/>
      <c r="G25" s="57">
        <v>147</v>
      </c>
      <c r="H25" s="57">
        <v>0</v>
      </c>
      <c r="I25" s="80"/>
      <c r="J25" s="117">
        <v>0</v>
      </c>
    </row>
    <row r="26" spans="2:10" x14ac:dyDescent="0.3">
      <c r="B26" s="11">
        <v>5520</v>
      </c>
      <c r="C26" s="2" t="s">
        <v>65</v>
      </c>
      <c r="D26" s="57">
        <v>0</v>
      </c>
      <c r="E26" s="57">
        <v>2942</v>
      </c>
      <c r="F26" s="57">
        <v>7060</v>
      </c>
      <c r="G26" s="57">
        <v>5884</v>
      </c>
      <c r="H26" s="57">
        <v>6472</v>
      </c>
      <c r="I26" s="80">
        <v>7355</v>
      </c>
      <c r="J26" s="117">
        <v>7355</v>
      </c>
    </row>
    <row r="27" spans="2:10" x14ac:dyDescent="0.3">
      <c r="B27" s="49">
        <v>5525</v>
      </c>
      <c r="C27" s="46" t="s">
        <v>245</v>
      </c>
      <c r="D27" s="57">
        <v>0</v>
      </c>
      <c r="E27" s="57">
        <v>0</v>
      </c>
      <c r="F27" s="57">
        <v>0</v>
      </c>
      <c r="G27" s="57">
        <v>0</v>
      </c>
      <c r="H27" s="57">
        <v>757</v>
      </c>
      <c r="I27" s="80"/>
      <c r="J27" s="117"/>
    </row>
    <row r="28" spans="2:10" x14ac:dyDescent="0.3">
      <c r="B28" s="11">
        <v>5530</v>
      </c>
      <c r="C28" s="2" t="s">
        <v>66</v>
      </c>
      <c r="D28" s="57">
        <v>21789.94</v>
      </c>
      <c r="E28" s="57">
        <v>14680</v>
      </c>
      <c r="F28" s="57">
        <v>0</v>
      </c>
      <c r="G28" s="57">
        <v>6721</v>
      </c>
      <c r="H28" s="57">
        <v>7159</v>
      </c>
      <c r="I28" s="80">
        <v>10340</v>
      </c>
      <c r="J28" s="117">
        <v>11477.857759849539</v>
      </c>
    </row>
    <row r="29" spans="2:10" x14ac:dyDescent="0.3">
      <c r="B29" s="11">
        <v>5540</v>
      </c>
      <c r="C29" s="2" t="s">
        <v>87</v>
      </c>
      <c r="D29" s="57">
        <f>13241.94</f>
        <v>13241.94</v>
      </c>
      <c r="E29" s="57">
        <v>7025</v>
      </c>
      <c r="F29" s="57">
        <v>11230</v>
      </c>
      <c r="G29" s="57">
        <v>8580</v>
      </c>
      <c r="H29" s="57">
        <v>1220</v>
      </c>
      <c r="I29" s="80"/>
      <c r="J29" s="117">
        <v>0</v>
      </c>
    </row>
    <row r="30" spans="2:10" x14ac:dyDescent="0.3">
      <c r="B30" s="11"/>
      <c r="C30" s="2" t="s">
        <v>91</v>
      </c>
      <c r="D30" s="57">
        <v>5884</v>
      </c>
      <c r="E30" s="57">
        <v>0</v>
      </c>
      <c r="F30" s="57">
        <v>0</v>
      </c>
      <c r="G30" s="57">
        <v>0</v>
      </c>
      <c r="H30" s="57">
        <v>0</v>
      </c>
      <c r="I30" s="93">
        <v>0</v>
      </c>
      <c r="J30" s="117">
        <v>0</v>
      </c>
    </row>
    <row r="31" spans="2:10" x14ac:dyDescent="0.3">
      <c r="B31" s="11"/>
      <c r="C31" s="2"/>
      <c r="D31" s="10"/>
      <c r="E31" s="10"/>
      <c r="F31" s="10"/>
      <c r="G31" s="10"/>
      <c r="H31" s="10"/>
      <c r="I31" s="73"/>
      <c r="J31" s="129"/>
    </row>
    <row r="32" spans="2:10" x14ac:dyDescent="0.3">
      <c r="B32" s="37" t="s">
        <v>14</v>
      </c>
      <c r="C32" s="38"/>
      <c r="D32" s="53">
        <f t="shared" ref="D32:J32" si="5">SUM(D22:D31)</f>
        <v>52468.04</v>
      </c>
      <c r="E32" s="53">
        <f t="shared" si="5"/>
        <v>34169</v>
      </c>
      <c r="F32" s="56">
        <f t="shared" si="5"/>
        <v>22483.96</v>
      </c>
      <c r="G32" s="56">
        <f>SUM(G22:G31)</f>
        <v>22666</v>
      </c>
      <c r="H32" s="56">
        <f>SUM(H22:H31)</f>
        <v>18850</v>
      </c>
      <c r="I32" s="71">
        <f t="shared" si="5"/>
        <v>21408</v>
      </c>
      <c r="J32" s="118">
        <f t="shared" si="5"/>
        <v>23532.857759849539</v>
      </c>
    </row>
    <row r="34" spans="2:10" x14ac:dyDescent="0.3">
      <c r="B34" s="23" t="s">
        <v>37</v>
      </c>
      <c r="C34" s="24" t="str">
        <f>+B6</f>
        <v>CEMETERY</v>
      </c>
      <c r="D34" s="53">
        <f t="shared" ref="D34:J34" si="6">+D17-D32</f>
        <v>-2069.0400000000009</v>
      </c>
      <c r="E34" s="53">
        <f t="shared" si="6"/>
        <v>16445</v>
      </c>
      <c r="F34" s="56">
        <f t="shared" si="6"/>
        <v>25456.04</v>
      </c>
      <c r="G34" s="56">
        <f>G17-G32</f>
        <v>26843</v>
      </c>
      <c r="H34" s="56">
        <f>H17-H32</f>
        <v>30019</v>
      </c>
      <c r="I34" s="71">
        <f t="shared" si="6"/>
        <v>7225</v>
      </c>
      <c r="J34" s="118">
        <f t="shared" si="6"/>
        <v>11657.142240150461</v>
      </c>
    </row>
    <row r="36" spans="2:10" x14ac:dyDescent="0.3">
      <c r="J36" s="130"/>
    </row>
  </sheetData>
  <mergeCells count="5">
    <mergeCell ref="B2:J2"/>
    <mergeCell ref="B3:J3"/>
    <mergeCell ref="B4:J4"/>
    <mergeCell ref="B5:J5"/>
    <mergeCell ref="B18:J18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3A52-688E-4276-905C-A7F9C4FE2E54}">
  <sheetPr codeName="Sheet8">
    <pageSetUpPr fitToPage="1"/>
  </sheetPr>
  <dimension ref="B2:J60"/>
  <sheetViews>
    <sheetView topLeftCell="A8" workbookViewId="0">
      <selection activeCell="L4" sqref="L4"/>
    </sheetView>
  </sheetViews>
  <sheetFormatPr defaultRowHeight="14.4" x14ac:dyDescent="0.3"/>
  <cols>
    <col min="1" max="1" width="2.88671875" customWidth="1"/>
    <col min="2" max="2" width="7.5546875" customWidth="1"/>
    <col min="3" max="3" width="26" customWidth="1"/>
    <col min="4" max="10" width="10.6640625" customWidth="1"/>
    <col min="11" max="11" width="2.44140625" customWidth="1"/>
  </cols>
  <sheetData>
    <row r="2" spans="2:10" ht="18" x14ac:dyDescent="0.35">
      <c r="B2" s="234" t="s">
        <v>1</v>
      </c>
      <c r="C2" s="235"/>
      <c r="D2" s="235"/>
      <c r="E2" s="235"/>
      <c r="F2" s="235"/>
      <c r="G2" s="235"/>
      <c r="H2" s="235"/>
      <c r="I2" s="235"/>
      <c r="J2" s="236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214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1" t="s">
        <v>176</v>
      </c>
      <c r="C6" s="2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29" t="s">
        <v>12</v>
      </c>
      <c r="E8" s="29" t="s">
        <v>12</v>
      </c>
      <c r="F8" s="77" t="s">
        <v>12</v>
      </c>
      <c r="G8" s="77" t="s">
        <v>12</v>
      </c>
      <c r="H8" s="29" t="s">
        <v>12</v>
      </c>
      <c r="I8" s="74" t="s">
        <v>12</v>
      </c>
      <c r="J8" s="115" t="s">
        <v>12</v>
      </c>
    </row>
    <row r="9" spans="2:10" x14ac:dyDescent="0.3">
      <c r="B9" s="11">
        <v>4410</v>
      </c>
      <c r="C9" s="2" t="s">
        <v>86</v>
      </c>
      <c r="D9" s="58">
        <f>24429.04+6705+40942.97</f>
        <v>72077.010000000009</v>
      </c>
      <c r="E9" s="58">
        <v>73874</v>
      </c>
      <c r="F9" s="58">
        <v>33410.400000000001</v>
      </c>
      <c r="G9" s="58">
        <v>29193</v>
      </c>
      <c r="H9" s="58">
        <v>13016</v>
      </c>
      <c r="I9" s="70">
        <v>29176</v>
      </c>
      <c r="J9" s="116">
        <v>12500</v>
      </c>
    </row>
    <row r="10" spans="2:10" x14ac:dyDescent="0.3">
      <c r="B10" s="11">
        <v>4414</v>
      </c>
      <c r="C10" s="2" t="s">
        <v>184</v>
      </c>
      <c r="D10" s="57"/>
      <c r="E10" s="57">
        <v>765</v>
      </c>
      <c r="F10" s="57">
        <v>-140</v>
      </c>
      <c r="G10" s="57"/>
      <c r="H10" s="57">
        <v>1288</v>
      </c>
      <c r="I10" s="70">
        <v>0</v>
      </c>
      <c r="J10" s="116">
        <v>0</v>
      </c>
    </row>
    <row r="11" spans="2:10" x14ac:dyDescent="0.3">
      <c r="B11" s="11">
        <v>4420</v>
      </c>
      <c r="C11" s="2" t="s">
        <v>78</v>
      </c>
      <c r="D11" s="57">
        <f>1100+400</f>
        <v>1500</v>
      </c>
      <c r="E11" s="57">
        <v>853</v>
      </c>
      <c r="F11" s="57">
        <v>1410.2429999999999</v>
      </c>
      <c r="G11" s="57">
        <v>667</v>
      </c>
      <c r="H11" s="57">
        <v>600</v>
      </c>
      <c r="I11" s="70">
        <v>1000</v>
      </c>
      <c r="J11" s="116">
        <v>500</v>
      </c>
    </row>
    <row r="12" spans="2:10" x14ac:dyDescent="0.3">
      <c r="B12" s="11">
        <v>4421</v>
      </c>
      <c r="C12" s="2" t="s">
        <v>158</v>
      </c>
      <c r="D12" s="57"/>
      <c r="E12" s="57"/>
      <c r="F12" s="57"/>
      <c r="G12" s="57">
        <v>1825</v>
      </c>
      <c r="H12" s="57"/>
      <c r="I12" s="70"/>
      <c r="J12" s="116">
        <v>0</v>
      </c>
    </row>
    <row r="13" spans="2:10" x14ac:dyDescent="0.3">
      <c r="B13" s="11">
        <v>4424</v>
      </c>
      <c r="C13" s="2" t="s">
        <v>96</v>
      </c>
      <c r="D13" s="57"/>
      <c r="E13" s="57">
        <v>6833</v>
      </c>
      <c r="F13" s="57">
        <v>6833.33</v>
      </c>
      <c r="G13" s="57">
        <v>6833</v>
      </c>
      <c r="H13" s="57">
        <v>2967</v>
      </c>
      <c r="I13" s="70"/>
      <c r="J13" s="116">
        <v>0</v>
      </c>
    </row>
    <row r="14" spans="2:10" x14ac:dyDescent="0.3">
      <c r="B14" s="11"/>
      <c r="C14" s="2" t="s">
        <v>92</v>
      </c>
      <c r="D14" s="57">
        <v>111.67</v>
      </c>
      <c r="E14" s="57"/>
      <c r="F14" s="57"/>
      <c r="G14" s="57"/>
      <c r="H14" s="57"/>
      <c r="I14" s="78"/>
      <c r="J14" s="116">
        <v>500</v>
      </c>
    </row>
    <row r="15" spans="2:10" x14ac:dyDescent="0.3">
      <c r="B15" s="33">
        <v>4440</v>
      </c>
      <c r="C15" s="2" t="s">
        <v>187</v>
      </c>
      <c r="D15" s="57">
        <v>928.33</v>
      </c>
      <c r="E15" s="57"/>
      <c r="F15" s="57"/>
      <c r="G15" s="57"/>
      <c r="H15" s="57">
        <v>117</v>
      </c>
      <c r="I15" s="78">
        <v>118</v>
      </c>
      <c r="J15" s="116">
        <v>3000</v>
      </c>
    </row>
    <row r="16" spans="2:10" x14ac:dyDescent="0.3">
      <c r="B16" s="35">
        <v>4440</v>
      </c>
      <c r="C16" s="36" t="s">
        <v>77</v>
      </c>
      <c r="D16" s="57"/>
      <c r="E16" s="57"/>
      <c r="F16" s="57">
        <v>163.33000000000001</v>
      </c>
      <c r="G16" s="57"/>
      <c r="H16" s="57"/>
      <c r="I16" s="79"/>
      <c r="J16" s="116">
        <v>0</v>
      </c>
    </row>
    <row r="17" spans="2:10" x14ac:dyDescent="0.3">
      <c r="B17" s="183" t="s">
        <v>14</v>
      </c>
      <c r="C17" s="38"/>
      <c r="D17" s="56">
        <f>SUM(D9:D16)</f>
        <v>74617.010000000009</v>
      </c>
      <c r="E17" s="56">
        <f>SUM(E9:E16)</f>
        <v>82325</v>
      </c>
      <c r="F17" s="56">
        <f>SUM(F9:F16)</f>
        <v>41677.303000000007</v>
      </c>
      <c r="G17" s="56">
        <f>SUM(G9:G16)</f>
        <v>38518</v>
      </c>
      <c r="H17" s="56">
        <f>SUM(H9:H16)</f>
        <v>17988</v>
      </c>
      <c r="I17" s="71">
        <f t="shared" ref="I17:J17" si="0">SUM(I9:I16)</f>
        <v>30294</v>
      </c>
      <c r="J17" s="118">
        <f t="shared" si="0"/>
        <v>16500</v>
      </c>
    </row>
    <row r="18" spans="2:10" ht="15.6" x14ac:dyDescent="0.3">
      <c r="B18" s="252" t="s">
        <v>15</v>
      </c>
      <c r="C18" s="253"/>
      <c r="D18" s="253"/>
      <c r="E18" s="253"/>
      <c r="F18" s="253"/>
      <c r="G18" s="253"/>
      <c r="H18" s="253"/>
      <c r="I18" s="253"/>
      <c r="J18" s="254"/>
    </row>
    <row r="19" spans="2:10" x14ac:dyDescent="0.3">
      <c r="B19" s="26" t="str">
        <f>+B6</f>
        <v>AMENITIES</v>
      </c>
      <c r="C19" s="39"/>
      <c r="D19" s="16" t="str">
        <f t="shared" ref="D19:J19" si="1">+D6</f>
        <v>2018-19</v>
      </c>
      <c r="E19" s="16" t="str">
        <f t="shared" si="1"/>
        <v>2019-20</v>
      </c>
      <c r="F19" s="16" t="str">
        <f t="shared" si="1"/>
        <v>2020-21</v>
      </c>
      <c r="G19" s="16" t="str">
        <f t="shared" si="1"/>
        <v>2021-22</v>
      </c>
      <c r="H19" s="16" t="s">
        <v>7</v>
      </c>
      <c r="I19" s="68" t="s">
        <v>199</v>
      </c>
      <c r="J19" s="114" t="str">
        <f t="shared" si="1"/>
        <v>2024-25</v>
      </c>
    </row>
    <row r="20" spans="2:10" ht="28.8" x14ac:dyDescent="0.3">
      <c r="B20" s="1" t="str">
        <f>+B7</f>
        <v>N/C</v>
      </c>
      <c r="C20" s="5" t="str">
        <f t="shared" ref="C20:J20" si="2">+C7</f>
        <v>NAME</v>
      </c>
      <c r="D20" s="83" t="str">
        <f t="shared" si="2"/>
        <v>ACTUAL</v>
      </c>
      <c r="E20" s="83" t="str">
        <f t="shared" si="2"/>
        <v>ACTUAL</v>
      </c>
      <c r="F20" s="83" t="str">
        <f t="shared" si="2"/>
        <v>ACTUAL</v>
      </c>
      <c r="G20" s="83" t="str">
        <f t="shared" si="2"/>
        <v>ACTUAL</v>
      </c>
      <c r="H20" s="83" t="s">
        <v>10</v>
      </c>
      <c r="I20" s="173" t="s">
        <v>181</v>
      </c>
      <c r="J20" s="179" t="str">
        <f t="shared" si="2"/>
        <v>PROPOSED BUDGET</v>
      </c>
    </row>
    <row r="21" spans="2:10" x14ac:dyDescent="0.3">
      <c r="B21" s="1"/>
      <c r="C21" s="5"/>
      <c r="D21" s="41" t="str">
        <f t="shared" ref="D21:J21" si="3">+D8</f>
        <v>£</v>
      </c>
      <c r="E21" s="41" t="str">
        <f t="shared" si="3"/>
        <v>£</v>
      </c>
      <c r="F21" s="41" t="str">
        <f t="shared" si="3"/>
        <v>£</v>
      </c>
      <c r="G21" s="41" t="str">
        <f t="shared" si="3"/>
        <v>£</v>
      </c>
      <c r="H21" s="29" t="s">
        <v>12</v>
      </c>
      <c r="I21" s="74" t="s">
        <v>12</v>
      </c>
      <c r="J21" s="128" t="str">
        <f t="shared" si="3"/>
        <v>£</v>
      </c>
    </row>
    <row r="22" spans="2:10" x14ac:dyDescent="0.3">
      <c r="B22" s="11">
        <v>5400</v>
      </c>
      <c r="C22" s="2" t="s">
        <v>52</v>
      </c>
      <c r="D22" s="58">
        <v>4061.02</v>
      </c>
      <c r="E22" s="58">
        <v>3812</v>
      </c>
      <c r="F22" s="58">
        <v>5393.37</v>
      </c>
      <c r="G22" s="58">
        <v>9788</v>
      </c>
      <c r="H22" s="58">
        <v>2238</v>
      </c>
      <c r="I22" s="70">
        <v>3035</v>
      </c>
      <c r="J22" s="116">
        <v>3000</v>
      </c>
    </row>
    <row r="23" spans="2:10" x14ac:dyDescent="0.3">
      <c r="B23" s="11">
        <v>5405</v>
      </c>
      <c r="C23" s="2" t="s">
        <v>185</v>
      </c>
      <c r="D23" s="58"/>
      <c r="E23" s="58"/>
      <c r="F23" s="58"/>
      <c r="G23" s="58">
        <v>1303</v>
      </c>
      <c r="H23" s="58"/>
      <c r="I23" s="70"/>
      <c r="J23" s="116">
        <v>0</v>
      </c>
    </row>
    <row r="24" spans="2:10" x14ac:dyDescent="0.3">
      <c r="B24" s="11">
        <v>5415</v>
      </c>
      <c r="C24" s="2" t="s">
        <v>112</v>
      </c>
      <c r="D24" s="58">
        <v>10525.37</v>
      </c>
      <c r="E24" s="58">
        <v>9950</v>
      </c>
      <c r="F24" s="58">
        <v>3287.09</v>
      </c>
      <c r="G24" s="58">
        <f>SUM(G25:G27)</f>
        <v>10282</v>
      </c>
      <c r="H24" s="58">
        <f>SUM(H25:H27)</f>
        <v>11828</v>
      </c>
      <c r="I24" s="70">
        <f t="shared" ref="I24" si="4">SUM(I25:I27)</f>
        <v>18159</v>
      </c>
      <c r="J24" s="116">
        <f>SUM(J25:J27)</f>
        <v>17923.339979830729</v>
      </c>
    </row>
    <row r="25" spans="2:10" x14ac:dyDescent="0.3">
      <c r="B25" s="11"/>
      <c r="C25" s="86" t="s">
        <v>201</v>
      </c>
      <c r="D25" s="87"/>
      <c r="E25" s="87"/>
      <c r="F25" s="87"/>
      <c r="G25" s="87">
        <v>10282</v>
      </c>
      <c r="H25" s="87">
        <v>11828</v>
      </c>
      <c r="I25" s="95">
        <v>14568</v>
      </c>
      <c r="J25" s="180">
        <v>16173.339979830731</v>
      </c>
    </row>
    <row r="26" spans="2:10" x14ac:dyDescent="0.3">
      <c r="B26" s="11"/>
      <c r="C26" s="90" t="s">
        <v>206</v>
      </c>
      <c r="D26" s="91"/>
      <c r="E26" s="91"/>
      <c r="F26" s="91"/>
      <c r="G26" s="91"/>
      <c r="H26" s="91"/>
      <c r="I26" s="97">
        <v>165</v>
      </c>
      <c r="J26" s="182">
        <v>250</v>
      </c>
    </row>
    <row r="27" spans="2:10" x14ac:dyDescent="0.3">
      <c r="B27" s="11"/>
      <c r="C27" s="88" t="s">
        <v>121</v>
      </c>
      <c r="D27" s="89"/>
      <c r="E27" s="89"/>
      <c r="F27" s="89"/>
      <c r="G27" s="89">
        <v>0</v>
      </c>
      <c r="H27" s="89"/>
      <c r="I27" s="119">
        <v>3426</v>
      </c>
      <c r="J27" s="181">
        <v>1500</v>
      </c>
    </row>
    <row r="28" spans="2:10" x14ac:dyDescent="0.3">
      <c r="B28" s="11">
        <v>5420</v>
      </c>
      <c r="C28" s="2" t="s">
        <v>53</v>
      </c>
      <c r="D28" s="58">
        <f>123.32+10641.12+30145.66+16879.85</f>
        <v>57789.95</v>
      </c>
      <c r="E28" s="58">
        <v>44830</v>
      </c>
      <c r="F28" s="58">
        <v>15858.3</v>
      </c>
      <c r="G28" s="58">
        <v>15402</v>
      </c>
      <c r="H28" s="58">
        <v>6472</v>
      </c>
      <c r="I28" s="70">
        <v>23437</v>
      </c>
      <c r="J28" s="116">
        <v>30000</v>
      </c>
    </row>
    <row r="29" spans="2:10" x14ac:dyDescent="0.3">
      <c r="B29" s="11">
        <v>5440</v>
      </c>
      <c r="C29" s="2" t="s">
        <v>54</v>
      </c>
      <c r="D29" s="58">
        <f>183.04+125.8+2565.11+50+109.53</f>
        <v>3033.4800000000005</v>
      </c>
      <c r="E29" s="58">
        <v>5590</v>
      </c>
      <c r="F29" s="58">
        <v>0</v>
      </c>
      <c r="G29" s="58"/>
      <c r="H29" s="58"/>
      <c r="I29" s="120"/>
      <c r="J29" s="116">
        <v>0</v>
      </c>
    </row>
    <row r="30" spans="2:10" x14ac:dyDescent="0.3">
      <c r="B30" s="11">
        <v>5450</v>
      </c>
      <c r="C30" s="2" t="s">
        <v>55</v>
      </c>
      <c r="D30" s="58">
        <f>644.6+21131.46</f>
        <v>21776.059999999998</v>
      </c>
      <c r="E30" s="58">
        <v>33505</v>
      </c>
      <c r="F30" s="58">
        <v>38099.72</v>
      </c>
      <c r="G30" s="58">
        <f>SUM(G31:G40)</f>
        <v>21270</v>
      </c>
      <c r="H30" s="58">
        <f>SUM(H31:H40)</f>
        <v>31723</v>
      </c>
      <c r="I30" s="70">
        <f t="shared" ref="I30" si="5">SUM(I31:I40)</f>
        <v>79507</v>
      </c>
      <c r="J30" s="116">
        <f>SUM(J31:J40)</f>
        <v>57020.802260319731</v>
      </c>
    </row>
    <row r="31" spans="2:10" x14ac:dyDescent="0.3">
      <c r="B31" s="11"/>
      <c r="C31" s="86" t="s">
        <v>127</v>
      </c>
      <c r="D31" s="87"/>
      <c r="E31" s="87"/>
      <c r="F31" s="87"/>
      <c r="G31" s="87">
        <v>21270</v>
      </c>
      <c r="H31" s="87">
        <v>31723</v>
      </c>
      <c r="I31" s="95">
        <v>22090</v>
      </c>
      <c r="J31" s="180">
        <v>24520.802260319731</v>
      </c>
    </row>
    <row r="32" spans="2:10" x14ac:dyDescent="0.3">
      <c r="B32" s="11"/>
      <c r="C32" s="90" t="s">
        <v>203</v>
      </c>
      <c r="D32" s="91"/>
      <c r="E32" s="91"/>
      <c r="F32" s="91"/>
      <c r="G32" s="91"/>
      <c r="H32" s="91"/>
      <c r="I32" s="97">
        <v>49420</v>
      </c>
      <c r="J32" s="182">
        <v>20000</v>
      </c>
    </row>
    <row r="33" spans="2:10" x14ac:dyDescent="0.3">
      <c r="B33" s="11"/>
      <c r="C33" s="90" t="s">
        <v>204</v>
      </c>
      <c r="D33" s="91"/>
      <c r="E33" s="91"/>
      <c r="F33" s="91"/>
      <c r="G33" s="91"/>
      <c r="H33" s="91"/>
      <c r="I33" s="97">
        <v>3000</v>
      </c>
      <c r="J33" s="182">
        <v>3000</v>
      </c>
    </row>
    <row r="34" spans="2:10" x14ac:dyDescent="0.3">
      <c r="B34" s="11"/>
      <c r="C34" s="90" t="s">
        <v>248</v>
      </c>
      <c r="D34" s="91"/>
      <c r="E34" s="91"/>
      <c r="F34" s="91"/>
      <c r="G34" s="91"/>
      <c r="H34" s="91"/>
      <c r="I34" s="97">
        <v>667</v>
      </c>
      <c r="J34" s="182"/>
    </row>
    <row r="35" spans="2:10" x14ac:dyDescent="0.3">
      <c r="B35" s="11"/>
      <c r="C35" s="90" t="s">
        <v>122</v>
      </c>
      <c r="D35" s="91"/>
      <c r="E35" s="91"/>
      <c r="F35" s="91"/>
      <c r="G35" s="91"/>
      <c r="H35" s="91"/>
      <c r="I35" s="97">
        <v>605</v>
      </c>
      <c r="J35" s="182">
        <v>0</v>
      </c>
    </row>
    <row r="36" spans="2:10" x14ac:dyDescent="0.3">
      <c r="B36" s="11"/>
      <c r="C36" s="90" t="s">
        <v>128</v>
      </c>
      <c r="D36" s="91"/>
      <c r="E36" s="91"/>
      <c r="F36" s="91"/>
      <c r="G36" s="91"/>
      <c r="H36" s="91"/>
      <c r="I36" s="97">
        <v>675</v>
      </c>
      <c r="J36" s="182">
        <v>3500</v>
      </c>
    </row>
    <row r="37" spans="2:10" x14ac:dyDescent="0.3">
      <c r="B37" s="11"/>
      <c r="C37" s="90" t="s">
        <v>202</v>
      </c>
      <c r="D37" s="91"/>
      <c r="E37" s="91"/>
      <c r="F37" s="91"/>
      <c r="G37" s="91"/>
      <c r="H37" s="91"/>
      <c r="I37" s="97">
        <v>1000</v>
      </c>
      <c r="J37" s="182">
        <v>1000</v>
      </c>
    </row>
    <row r="38" spans="2:10" x14ac:dyDescent="0.3">
      <c r="B38" s="11"/>
      <c r="C38" s="90" t="s">
        <v>249</v>
      </c>
      <c r="D38" s="91"/>
      <c r="E38" s="91"/>
      <c r="F38" s="91"/>
      <c r="G38" s="91"/>
      <c r="H38" s="91"/>
      <c r="I38" s="97">
        <v>228</v>
      </c>
      <c r="J38" s="182">
        <v>500</v>
      </c>
    </row>
    <row r="39" spans="2:10" x14ac:dyDescent="0.3">
      <c r="B39" s="11"/>
      <c r="C39" s="90" t="s">
        <v>123</v>
      </c>
      <c r="D39" s="91"/>
      <c r="E39" s="91"/>
      <c r="F39" s="91"/>
      <c r="G39" s="91"/>
      <c r="H39" s="91"/>
      <c r="I39" s="97">
        <v>72</v>
      </c>
      <c r="J39" s="182">
        <v>1000</v>
      </c>
    </row>
    <row r="40" spans="2:10" x14ac:dyDescent="0.3">
      <c r="B40" s="11"/>
      <c r="C40" s="88" t="s">
        <v>124</v>
      </c>
      <c r="D40" s="89"/>
      <c r="E40" s="89"/>
      <c r="F40" s="89"/>
      <c r="G40" s="89"/>
      <c r="H40" s="89"/>
      <c r="I40" s="119">
        <v>1750</v>
      </c>
      <c r="J40" s="181">
        <v>3500</v>
      </c>
    </row>
    <row r="41" spans="2:10" x14ac:dyDescent="0.3">
      <c r="B41" s="11">
        <v>5452</v>
      </c>
      <c r="C41" s="2" t="s">
        <v>56</v>
      </c>
      <c r="D41" s="58">
        <f>16493.15+1200+69.19</f>
        <v>17762.34</v>
      </c>
      <c r="E41" s="58">
        <v>5985</v>
      </c>
      <c r="F41" s="58">
        <v>4343.2</v>
      </c>
      <c r="G41" s="58">
        <v>2691</v>
      </c>
      <c r="H41" s="58">
        <v>2650</v>
      </c>
      <c r="I41" s="121">
        <v>5998</v>
      </c>
      <c r="J41" s="116">
        <v>6000</v>
      </c>
    </row>
    <row r="42" spans="2:10" x14ac:dyDescent="0.3">
      <c r="B42" s="11">
        <v>5455</v>
      </c>
      <c r="C42" s="2" t="s">
        <v>57</v>
      </c>
      <c r="D42" s="58">
        <f>4796+6235</f>
        <v>11031</v>
      </c>
      <c r="E42" s="58">
        <v>14650</v>
      </c>
      <c r="F42" s="58">
        <v>24400</v>
      </c>
      <c r="G42" s="58">
        <f>G43+G44</f>
        <v>12380</v>
      </c>
      <c r="H42" s="58">
        <f>H43+H44</f>
        <v>7950</v>
      </c>
      <c r="I42" s="70">
        <f>I44+I43</f>
        <v>16000</v>
      </c>
      <c r="J42" s="116">
        <f>J43+J44</f>
        <v>26000</v>
      </c>
    </row>
    <row r="43" spans="2:10" x14ac:dyDescent="0.3">
      <c r="B43" s="11"/>
      <c r="C43" s="86" t="s">
        <v>125</v>
      </c>
      <c r="D43" s="87"/>
      <c r="E43" s="87"/>
      <c r="F43" s="87"/>
      <c r="G43" s="87">
        <v>12380</v>
      </c>
      <c r="H43" s="87">
        <v>7950</v>
      </c>
      <c r="I43" s="95">
        <v>6000</v>
      </c>
      <c r="J43" s="180">
        <v>6000</v>
      </c>
    </row>
    <row r="44" spans="2:10" x14ac:dyDescent="0.3">
      <c r="B44" s="11"/>
      <c r="C44" s="88" t="s">
        <v>126</v>
      </c>
      <c r="D44" s="89"/>
      <c r="E44" s="89"/>
      <c r="F44" s="89"/>
      <c r="G44" s="89">
        <v>0</v>
      </c>
      <c r="H44" s="89"/>
      <c r="I44" s="119">
        <v>10000</v>
      </c>
      <c r="J44" s="181">
        <v>20000</v>
      </c>
    </row>
    <row r="45" spans="2:10" x14ac:dyDescent="0.3">
      <c r="B45" s="11">
        <v>5465</v>
      </c>
      <c r="C45" s="2" t="s">
        <v>58</v>
      </c>
      <c r="D45" s="58">
        <f>575+7161.19+180+17555.22+4362.13</f>
        <v>29833.54</v>
      </c>
      <c r="E45" s="58">
        <v>9393</v>
      </c>
      <c r="F45" s="58">
        <v>7142.13</v>
      </c>
      <c r="G45" s="58">
        <v>3680</v>
      </c>
      <c r="H45" s="58">
        <v>22064</v>
      </c>
      <c r="I45" s="121">
        <f>SUM(I46:I50)</f>
        <v>12596</v>
      </c>
      <c r="J45" s="116">
        <f>SUM(J46:J50)</f>
        <v>14000</v>
      </c>
    </row>
    <row r="46" spans="2:10" x14ac:dyDescent="0.3">
      <c r="B46" s="11"/>
      <c r="C46" s="86" t="s">
        <v>188</v>
      </c>
      <c r="D46" s="184"/>
      <c r="E46" s="184"/>
      <c r="F46" s="184"/>
      <c r="G46" s="184"/>
      <c r="H46" s="184"/>
      <c r="I46" s="224">
        <v>10148</v>
      </c>
      <c r="J46" s="180">
        <v>7500</v>
      </c>
    </row>
    <row r="47" spans="2:10" x14ac:dyDescent="0.3">
      <c r="B47" s="11"/>
      <c r="C47" s="90" t="s">
        <v>179</v>
      </c>
      <c r="D47" s="58"/>
      <c r="E47" s="58"/>
      <c r="F47" s="58"/>
      <c r="G47" s="58"/>
      <c r="H47" s="58"/>
      <c r="I47" s="225">
        <v>1239</v>
      </c>
      <c r="J47" s="182">
        <v>2500</v>
      </c>
    </row>
    <row r="48" spans="2:10" x14ac:dyDescent="0.3">
      <c r="B48" s="11"/>
      <c r="C48" s="90" t="s">
        <v>190</v>
      </c>
      <c r="D48" s="58"/>
      <c r="E48" s="58"/>
      <c r="F48" s="58"/>
      <c r="G48" s="58"/>
      <c r="H48" s="58"/>
      <c r="I48" s="225">
        <v>1209</v>
      </c>
      <c r="J48" s="182">
        <v>2500</v>
      </c>
    </row>
    <row r="49" spans="2:10" x14ac:dyDescent="0.3">
      <c r="B49" s="11"/>
      <c r="C49" s="90" t="s">
        <v>189</v>
      </c>
      <c r="D49" s="58"/>
      <c r="E49" s="58"/>
      <c r="F49" s="58"/>
      <c r="G49" s="58"/>
      <c r="H49" s="58"/>
      <c r="I49" s="225">
        <v>0</v>
      </c>
      <c r="J49" s="182">
        <v>1500</v>
      </c>
    </row>
    <row r="50" spans="2:10" x14ac:dyDescent="0.3">
      <c r="B50" s="11"/>
      <c r="C50" s="88" t="s">
        <v>85</v>
      </c>
      <c r="D50" s="92"/>
      <c r="E50" s="92"/>
      <c r="F50" s="92"/>
      <c r="G50" s="92"/>
      <c r="H50" s="92"/>
      <c r="I50" s="119">
        <v>0</v>
      </c>
      <c r="J50" s="181">
        <v>0</v>
      </c>
    </row>
    <row r="51" spans="2:10" x14ac:dyDescent="0.3">
      <c r="B51" s="11">
        <v>5470</v>
      </c>
      <c r="C51" s="2" t="s">
        <v>59</v>
      </c>
      <c r="D51" s="58">
        <f>130.31+157+397.79+51.04</f>
        <v>736.14</v>
      </c>
      <c r="E51" s="58">
        <v>3342</v>
      </c>
      <c r="F51" s="58">
        <v>33630.839999999997</v>
      </c>
      <c r="G51" s="58">
        <v>31407</v>
      </c>
      <c r="H51" s="58">
        <v>37323</v>
      </c>
      <c r="I51" s="70">
        <v>26762</v>
      </c>
      <c r="J51" s="116">
        <v>12000</v>
      </c>
    </row>
    <row r="52" spans="2:10" x14ac:dyDescent="0.3">
      <c r="B52" s="11">
        <v>5480</v>
      </c>
      <c r="C52" s="2" t="s">
        <v>88</v>
      </c>
      <c r="D52" s="58">
        <f>3544.18</f>
        <v>3544.18</v>
      </c>
      <c r="E52" s="58">
        <v>3665</v>
      </c>
      <c r="F52" s="58">
        <v>3925.88</v>
      </c>
      <c r="G52" s="58">
        <v>6093</v>
      </c>
      <c r="H52" s="58">
        <v>6232</v>
      </c>
      <c r="I52" s="70">
        <v>4879</v>
      </c>
      <c r="J52" s="116">
        <v>4200</v>
      </c>
    </row>
    <row r="53" spans="2:10" x14ac:dyDescent="0.3">
      <c r="B53" s="11">
        <v>5484</v>
      </c>
      <c r="C53" s="2" t="s">
        <v>60</v>
      </c>
      <c r="D53" s="58">
        <f>6973.52</f>
        <v>6973.52</v>
      </c>
      <c r="E53" s="58">
        <v>7095</v>
      </c>
      <c r="F53" s="58">
        <v>7464.24</v>
      </c>
      <c r="G53" s="58">
        <v>7839</v>
      </c>
      <c r="H53" s="58">
        <v>7777</v>
      </c>
      <c r="I53" s="70">
        <v>5754</v>
      </c>
      <c r="J53" s="116">
        <v>12000</v>
      </c>
    </row>
    <row r="54" spans="2:10" x14ac:dyDescent="0.3">
      <c r="B54" s="11">
        <v>5488</v>
      </c>
      <c r="C54" s="2" t="s">
        <v>61</v>
      </c>
      <c r="D54" s="58">
        <f>122.46+1011.96+1183.15+939.34+76.62</f>
        <v>3333.53</v>
      </c>
      <c r="E54" s="58">
        <v>2467</v>
      </c>
      <c r="F54" s="58">
        <v>749.84</v>
      </c>
      <c r="G54" s="58">
        <v>500</v>
      </c>
      <c r="H54" s="58">
        <v>1611</v>
      </c>
      <c r="I54" s="70">
        <v>1062</v>
      </c>
      <c r="J54" s="116">
        <v>1000</v>
      </c>
    </row>
    <row r="55" spans="2:10" x14ac:dyDescent="0.3">
      <c r="B55" s="11">
        <v>5490</v>
      </c>
      <c r="C55" s="2" t="s">
        <v>89</v>
      </c>
      <c r="D55" s="58">
        <f>7216.74+1784.77+524.74</f>
        <v>9526.25</v>
      </c>
      <c r="E55" s="58">
        <v>292</v>
      </c>
      <c r="F55" s="58"/>
      <c r="G55" s="58"/>
      <c r="H55" s="58"/>
      <c r="I55" s="70"/>
      <c r="J55" s="116">
        <v>0</v>
      </c>
    </row>
    <row r="56" spans="2:10" x14ac:dyDescent="0.3">
      <c r="B56" s="11"/>
      <c r="C56" s="2" t="s">
        <v>156</v>
      </c>
      <c r="D56" s="58"/>
      <c r="E56" s="58"/>
      <c r="F56" s="58"/>
      <c r="G56" s="58">
        <v>-7797</v>
      </c>
      <c r="H56" s="58"/>
      <c r="I56" s="70"/>
      <c r="J56" s="116">
        <v>0</v>
      </c>
    </row>
    <row r="57" spans="2:10" x14ac:dyDescent="0.3">
      <c r="B57" s="42"/>
      <c r="C57" s="43" t="s">
        <v>120</v>
      </c>
      <c r="D57" s="92">
        <v>15157</v>
      </c>
      <c r="E57" s="92"/>
      <c r="F57" s="92">
        <v>2395</v>
      </c>
      <c r="G57" s="92"/>
      <c r="H57" s="92"/>
      <c r="I57" s="143"/>
      <c r="J57" s="188">
        <v>0</v>
      </c>
    </row>
    <row r="58" spans="2:10" x14ac:dyDescent="0.3">
      <c r="B58" s="37" t="s">
        <v>14</v>
      </c>
      <c r="C58" s="38"/>
      <c r="D58" s="56">
        <f>SUM(D22:D57)</f>
        <v>195083.37999999998</v>
      </c>
      <c r="E58" s="56">
        <f>SUM(E22:E57)</f>
        <v>144576</v>
      </c>
      <c r="F58" s="56">
        <f>SUM(F22:F57)</f>
        <v>146689.60999999999</v>
      </c>
      <c r="G58" s="56">
        <f>SUM(G22:G57)-G30-G42-G24</f>
        <v>114838</v>
      </c>
      <c r="H58" s="56">
        <f>SUM(H22:H57)-H30-H42-H24</f>
        <v>137868</v>
      </c>
      <c r="I58" s="71">
        <f>SUM(I22:I57)-I30-I42-I24-I45</f>
        <v>197189</v>
      </c>
      <c r="J58" s="118">
        <f>SUM(J22:J57)-J30-J42-J24-J45</f>
        <v>183144.14224015045</v>
      </c>
    </row>
    <row r="60" spans="2:10" x14ac:dyDescent="0.3">
      <c r="B60" s="23" t="s">
        <v>37</v>
      </c>
      <c r="C60" s="24" t="str">
        <f>+B6</f>
        <v>AMENITIES</v>
      </c>
      <c r="D60" s="53">
        <f>+D17-D58</f>
        <v>-120466.36999999997</v>
      </c>
      <c r="E60" s="53">
        <f>+E17-E58</f>
        <v>-62251</v>
      </c>
      <c r="F60" s="53">
        <f>+F17-F58</f>
        <v>-105012.30699999997</v>
      </c>
      <c r="G60" s="53">
        <f>+G17-G58</f>
        <v>-76320</v>
      </c>
      <c r="H60" s="53">
        <f>+H17-H58</f>
        <v>-119880</v>
      </c>
      <c r="I60" s="71">
        <f>I17-I58</f>
        <v>-166895</v>
      </c>
      <c r="J60" s="118">
        <f>+J17-J58</f>
        <v>-166644.14224015045</v>
      </c>
    </row>
  </sheetData>
  <mergeCells count="5">
    <mergeCell ref="B2:J2"/>
    <mergeCell ref="B3:J3"/>
    <mergeCell ref="B4:J4"/>
    <mergeCell ref="B5:J5"/>
    <mergeCell ref="B18:J18"/>
  </mergeCells>
  <pageMargins left="0.7" right="0.7" top="0.75" bottom="0.75" header="0.3" footer="0.3"/>
  <pageSetup paperSize="9" scale="77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6905-730D-438C-89D3-1D032EDB843E}">
  <sheetPr codeName="Sheet10">
    <pageSetUpPr fitToPage="1"/>
  </sheetPr>
  <dimension ref="B2:J35"/>
  <sheetViews>
    <sheetView topLeftCell="A11" workbookViewId="0">
      <selection activeCell="M19" sqref="M19"/>
    </sheetView>
  </sheetViews>
  <sheetFormatPr defaultRowHeight="14.4" x14ac:dyDescent="0.3"/>
  <cols>
    <col min="1" max="1" width="2.44140625" customWidth="1"/>
    <col min="2" max="2" width="7.5546875" customWidth="1"/>
    <col min="3" max="3" width="26.6640625" customWidth="1"/>
    <col min="4" max="10" width="10.6640625" customWidth="1"/>
    <col min="11" max="11" width="2.44140625" customWidth="1"/>
  </cols>
  <sheetData>
    <row r="2" spans="2:10" ht="18" x14ac:dyDescent="0.35">
      <c r="B2" s="234" t="s">
        <v>1</v>
      </c>
      <c r="C2" s="250"/>
      <c r="D2" s="250"/>
      <c r="E2" s="250"/>
      <c r="F2" s="250"/>
      <c r="G2" s="250"/>
      <c r="H2" s="250"/>
      <c r="I2" s="250"/>
      <c r="J2" s="251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198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26" t="s">
        <v>67</v>
      </c>
      <c r="C6" s="27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7" t="s">
        <v>12</v>
      </c>
      <c r="E8" s="7" t="s">
        <v>12</v>
      </c>
      <c r="F8" s="7" t="s">
        <v>12</v>
      </c>
      <c r="G8" s="7" t="s">
        <v>12</v>
      </c>
      <c r="H8" s="161" t="s">
        <v>12</v>
      </c>
      <c r="I8" s="74" t="s">
        <v>12</v>
      </c>
      <c r="J8" s="126" t="s">
        <v>12</v>
      </c>
    </row>
    <row r="9" spans="2:10" x14ac:dyDescent="0.3">
      <c r="B9" s="11">
        <v>4600</v>
      </c>
      <c r="C9" s="2" t="s">
        <v>68</v>
      </c>
      <c r="D9" s="60">
        <v>7407.75</v>
      </c>
      <c r="E9" s="60">
        <v>12201</v>
      </c>
      <c r="F9" s="60">
        <f>3092.33+5340.72</f>
        <v>8433.0499999999993</v>
      </c>
      <c r="G9" s="60">
        <f>3565+6044+1605</f>
        <v>11214</v>
      </c>
      <c r="H9" s="60">
        <v>10062</v>
      </c>
      <c r="I9" s="75">
        <v>10471</v>
      </c>
      <c r="J9" s="136">
        <v>11472</v>
      </c>
    </row>
    <row r="10" spans="2:10" x14ac:dyDescent="0.3">
      <c r="B10" s="11">
        <v>4605</v>
      </c>
      <c r="C10" s="2" t="s">
        <v>168</v>
      </c>
      <c r="D10" s="60"/>
      <c r="E10" s="60"/>
      <c r="F10" s="60"/>
      <c r="G10" s="60"/>
      <c r="H10" s="60">
        <v>710</v>
      </c>
      <c r="I10" s="75">
        <v>650</v>
      </c>
      <c r="J10" s="136">
        <v>800</v>
      </c>
    </row>
    <row r="11" spans="2:10" x14ac:dyDescent="0.3">
      <c r="B11" s="11"/>
      <c r="C11" s="2"/>
      <c r="D11" s="60"/>
      <c r="E11" s="60"/>
      <c r="F11" s="60"/>
      <c r="G11" s="60"/>
      <c r="H11" s="60"/>
      <c r="I11" s="73"/>
      <c r="J11" s="136"/>
    </row>
    <row r="12" spans="2:10" x14ac:dyDescent="0.3">
      <c r="B12" s="37" t="s">
        <v>14</v>
      </c>
      <c r="C12" s="38"/>
      <c r="D12" s="56">
        <f t="shared" ref="D12:J12" si="0">SUM(D9:D11)</f>
        <v>7407.75</v>
      </c>
      <c r="E12" s="56">
        <f t="shared" si="0"/>
        <v>12201</v>
      </c>
      <c r="F12" s="56">
        <f t="shared" si="0"/>
        <v>8433.0499999999993</v>
      </c>
      <c r="G12" s="56">
        <f>SUM(G9:G11)</f>
        <v>11214</v>
      </c>
      <c r="H12" s="56">
        <f>SUM(H9:H11)</f>
        <v>10772</v>
      </c>
      <c r="I12" s="71">
        <f t="shared" ref="I12" si="1">SUM(I9:I11)</f>
        <v>11121</v>
      </c>
      <c r="J12" s="118">
        <f t="shared" si="0"/>
        <v>12272</v>
      </c>
    </row>
    <row r="13" spans="2:10" ht="15.6" x14ac:dyDescent="0.3">
      <c r="B13" s="252" t="s">
        <v>15</v>
      </c>
      <c r="C13" s="253"/>
      <c r="D13" s="253"/>
      <c r="E13" s="253"/>
      <c r="F13" s="253"/>
      <c r="G13" s="253"/>
      <c r="H13" s="253"/>
      <c r="I13" s="253"/>
      <c r="J13" s="254"/>
    </row>
    <row r="14" spans="2:10" x14ac:dyDescent="0.3">
      <c r="B14" s="1" t="str">
        <f>+B6</f>
        <v>ALLOTMENTS</v>
      </c>
      <c r="C14" s="39"/>
      <c r="D14" s="41" t="str">
        <f t="shared" ref="D14:F16" si="2">+D6</f>
        <v>2018-19</v>
      </c>
      <c r="E14" s="41" t="str">
        <f t="shared" si="2"/>
        <v>2019-20</v>
      </c>
      <c r="F14" s="41" t="str">
        <f t="shared" si="2"/>
        <v>2020-21</v>
      </c>
      <c r="G14" s="16" t="s">
        <v>6</v>
      </c>
      <c r="H14" s="16" t="s">
        <v>7</v>
      </c>
      <c r="I14" s="68" t="s">
        <v>199</v>
      </c>
      <c r="J14" s="131" t="s">
        <v>215</v>
      </c>
    </row>
    <row r="15" spans="2:10" ht="28.8" x14ac:dyDescent="0.3">
      <c r="B15" s="1" t="str">
        <f>+B7</f>
        <v>N/C</v>
      </c>
      <c r="C15" s="5" t="str">
        <f>+C7</f>
        <v>NAME</v>
      </c>
      <c r="D15" s="163" t="str">
        <f t="shared" si="2"/>
        <v>ACTUAL</v>
      </c>
      <c r="E15" s="163" t="str">
        <f t="shared" si="2"/>
        <v>ACTUAL</v>
      </c>
      <c r="F15" s="163" t="str">
        <f t="shared" si="2"/>
        <v>ACTUAL</v>
      </c>
      <c r="G15" s="83" t="s">
        <v>10</v>
      </c>
      <c r="H15" s="83" t="s">
        <v>10</v>
      </c>
      <c r="I15" s="173" t="s">
        <v>181</v>
      </c>
      <c r="J15" s="174" t="s">
        <v>200</v>
      </c>
    </row>
    <row r="16" spans="2:10" x14ac:dyDescent="0.3">
      <c r="B16" s="1"/>
      <c r="C16" s="5"/>
      <c r="D16" s="40" t="str">
        <f t="shared" si="2"/>
        <v>£</v>
      </c>
      <c r="E16" s="40" t="str">
        <f t="shared" si="2"/>
        <v>£</v>
      </c>
      <c r="F16" s="40" t="str">
        <f t="shared" si="2"/>
        <v>£</v>
      </c>
      <c r="G16" s="40" t="s">
        <v>12</v>
      </c>
      <c r="H16" s="161" t="s">
        <v>12</v>
      </c>
      <c r="I16" s="74" t="s">
        <v>12</v>
      </c>
      <c r="J16" s="128" t="str">
        <f t="shared" ref="J16" si="3">+J8</f>
        <v>£</v>
      </c>
    </row>
    <row r="17" spans="2:10" x14ac:dyDescent="0.3">
      <c r="B17" s="11">
        <v>5600</v>
      </c>
      <c r="C17" s="2" t="s">
        <v>130</v>
      </c>
      <c r="D17" s="62">
        <f>13098.46+78.9+724.85</f>
        <v>13902.21</v>
      </c>
      <c r="E17" s="62">
        <v>6959</v>
      </c>
      <c r="F17" s="62">
        <f>7149.44+238.95+303.66</f>
        <v>7692.0499999999993</v>
      </c>
      <c r="G17" s="62">
        <f>1597+3170+112</f>
        <v>4879</v>
      </c>
      <c r="H17" s="62">
        <v>2459</v>
      </c>
      <c r="I17" s="108">
        <f>SUM(I18:I30)</f>
        <v>6047</v>
      </c>
      <c r="J17" s="146">
        <f>SUM(J18:J30)</f>
        <v>10410</v>
      </c>
    </row>
    <row r="18" spans="2:10" x14ac:dyDescent="0.3">
      <c r="B18" s="11"/>
      <c r="C18" s="94" t="s">
        <v>131</v>
      </c>
      <c r="D18" s="99"/>
      <c r="E18" s="99"/>
      <c r="F18" s="99"/>
      <c r="G18" s="99">
        <v>0</v>
      </c>
      <c r="H18" s="99"/>
      <c r="I18" s="137">
        <v>0</v>
      </c>
      <c r="J18" s="140"/>
    </row>
    <row r="19" spans="2:10" x14ac:dyDescent="0.3">
      <c r="B19" s="11"/>
      <c r="C19" s="96" t="s">
        <v>166</v>
      </c>
      <c r="D19" s="60"/>
      <c r="E19" s="60"/>
      <c r="F19" s="60"/>
      <c r="G19" s="60"/>
      <c r="H19" s="60"/>
      <c r="I19" s="138">
        <v>100</v>
      </c>
      <c r="J19" s="140">
        <v>100</v>
      </c>
    </row>
    <row r="20" spans="2:10" x14ac:dyDescent="0.3">
      <c r="B20" s="11"/>
      <c r="C20" s="96" t="s">
        <v>132</v>
      </c>
      <c r="D20" s="60"/>
      <c r="E20" s="60"/>
      <c r="F20" s="60"/>
      <c r="G20" s="60"/>
      <c r="H20" s="60"/>
      <c r="I20" s="138">
        <v>350</v>
      </c>
      <c r="J20" s="140">
        <v>350</v>
      </c>
    </row>
    <row r="21" spans="2:10" x14ac:dyDescent="0.3">
      <c r="B21" s="11"/>
      <c r="C21" s="96" t="s">
        <v>133</v>
      </c>
      <c r="D21" s="60"/>
      <c r="E21" s="60"/>
      <c r="F21" s="60"/>
      <c r="G21" s="60"/>
      <c r="H21" s="60"/>
      <c r="I21" s="138">
        <v>1997</v>
      </c>
      <c r="J21" s="141">
        <v>2300</v>
      </c>
    </row>
    <row r="22" spans="2:10" x14ac:dyDescent="0.3">
      <c r="B22" s="11"/>
      <c r="C22" s="96" t="s">
        <v>134</v>
      </c>
      <c r="D22" s="60"/>
      <c r="E22" s="60"/>
      <c r="F22" s="60"/>
      <c r="G22" s="60"/>
      <c r="H22" s="60"/>
      <c r="I22" s="138">
        <v>200</v>
      </c>
      <c r="J22" s="141">
        <v>350</v>
      </c>
    </row>
    <row r="23" spans="2:10" x14ac:dyDescent="0.3">
      <c r="B23" s="11"/>
      <c r="C23" s="96" t="s">
        <v>135</v>
      </c>
      <c r="D23" s="60"/>
      <c r="E23" s="60"/>
      <c r="F23" s="60"/>
      <c r="G23" s="60"/>
      <c r="H23" s="60"/>
      <c r="I23" s="138">
        <v>574</v>
      </c>
      <c r="J23" s="141">
        <v>350</v>
      </c>
    </row>
    <row r="24" spans="2:10" x14ac:dyDescent="0.3">
      <c r="B24" s="11"/>
      <c r="C24" s="96" t="s">
        <v>167</v>
      </c>
      <c r="D24" s="60"/>
      <c r="E24" s="60"/>
      <c r="F24" s="60"/>
      <c r="G24" s="60"/>
      <c r="H24" s="60"/>
      <c r="I24" s="138"/>
      <c r="J24" s="141">
        <v>0</v>
      </c>
    </row>
    <row r="25" spans="2:10" x14ac:dyDescent="0.3">
      <c r="B25" s="11"/>
      <c r="C25" s="96" t="s">
        <v>141</v>
      </c>
      <c r="D25" s="60"/>
      <c r="E25" s="60"/>
      <c r="F25" s="60"/>
      <c r="G25" s="60"/>
      <c r="H25" s="60"/>
      <c r="I25" s="138">
        <v>500</v>
      </c>
      <c r="J25" s="141">
        <v>500</v>
      </c>
    </row>
    <row r="26" spans="2:10" x14ac:dyDescent="0.3">
      <c r="B26" s="11"/>
      <c r="C26" s="96" t="s">
        <v>136</v>
      </c>
      <c r="D26" s="60"/>
      <c r="E26" s="60"/>
      <c r="F26" s="60"/>
      <c r="G26" s="60"/>
      <c r="H26" s="60"/>
      <c r="I26" s="138">
        <v>1416</v>
      </c>
      <c r="J26" s="141">
        <v>1500</v>
      </c>
    </row>
    <row r="27" spans="2:10" x14ac:dyDescent="0.3">
      <c r="B27" s="11"/>
      <c r="C27" s="96" t="s">
        <v>246</v>
      </c>
      <c r="D27" s="60"/>
      <c r="E27" s="60"/>
      <c r="F27" s="60"/>
      <c r="G27" s="60"/>
      <c r="H27" s="60"/>
      <c r="I27" s="138"/>
      <c r="J27" s="141">
        <v>3500</v>
      </c>
    </row>
    <row r="28" spans="2:10" x14ac:dyDescent="0.3">
      <c r="B28" s="11"/>
      <c r="C28" s="96" t="s">
        <v>138</v>
      </c>
      <c r="D28" s="60"/>
      <c r="E28" s="60"/>
      <c r="F28" s="60"/>
      <c r="G28" s="60"/>
      <c r="H28" s="60"/>
      <c r="I28" s="138">
        <v>284</v>
      </c>
      <c r="J28" s="141">
        <v>750</v>
      </c>
    </row>
    <row r="29" spans="2:10" x14ac:dyDescent="0.3">
      <c r="B29" s="11"/>
      <c r="C29" s="96" t="s">
        <v>139</v>
      </c>
      <c r="D29" s="60"/>
      <c r="E29" s="60"/>
      <c r="F29" s="60"/>
      <c r="G29" s="60"/>
      <c r="H29" s="60"/>
      <c r="I29" s="138">
        <v>426</v>
      </c>
      <c r="J29" s="141">
        <v>500</v>
      </c>
    </row>
    <row r="30" spans="2:10" x14ac:dyDescent="0.3">
      <c r="B30" s="11"/>
      <c r="C30" s="98" t="s">
        <v>140</v>
      </c>
      <c r="D30" s="62"/>
      <c r="E30" s="62"/>
      <c r="F30" s="62"/>
      <c r="G30" s="62"/>
      <c r="H30" s="62"/>
      <c r="I30" s="139">
        <v>200</v>
      </c>
      <c r="J30" s="142">
        <v>210</v>
      </c>
    </row>
    <row r="31" spans="2:10" x14ac:dyDescent="0.3">
      <c r="B31" s="11"/>
      <c r="C31" s="2"/>
      <c r="D31" s="60"/>
      <c r="E31" s="60"/>
      <c r="F31" s="60"/>
      <c r="G31" s="60"/>
      <c r="H31" s="60"/>
      <c r="I31" s="75"/>
      <c r="J31" s="136"/>
    </row>
    <row r="32" spans="2:10" x14ac:dyDescent="0.3">
      <c r="B32" s="37" t="s">
        <v>14</v>
      </c>
      <c r="C32" s="38"/>
      <c r="D32" s="56">
        <f>SUM(D17:D31)</f>
        <v>13902.21</v>
      </c>
      <c r="E32" s="56">
        <f>SUM(E17:E31)</f>
        <v>6959</v>
      </c>
      <c r="F32" s="56">
        <f>SUM(F17:F31)</f>
        <v>7692.0499999999993</v>
      </c>
      <c r="G32" s="56">
        <f>G17</f>
        <v>4879</v>
      </c>
      <c r="H32" s="56">
        <f>H17</f>
        <v>2459</v>
      </c>
      <c r="I32" s="71">
        <f>I17</f>
        <v>6047</v>
      </c>
      <c r="J32" s="118">
        <f>J17</f>
        <v>10410</v>
      </c>
    </row>
    <row r="34" spans="2:10" x14ac:dyDescent="0.3">
      <c r="B34" s="23" t="s">
        <v>37</v>
      </c>
      <c r="C34" s="24" t="str">
        <f>+B6</f>
        <v>ALLOTMENTS</v>
      </c>
      <c r="D34" s="53">
        <f t="shared" ref="D34:J34" si="4">+D12-D32</f>
        <v>-6494.4599999999991</v>
      </c>
      <c r="E34" s="53">
        <f t="shared" si="4"/>
        <v>5242</v>
      </c>
      <c r="F34" s="53">
        <f t="shared" si="4"/>
        <v>741</v>
      </c>
      <c r="G34" s="53">
        <f>G9-G32</f>
        <v>6335</v>
      </c>
      <c r="H34" s="53">
        <f>H9-H32</f>
        <v>7603</v>
      </c>
      <c r="I34" s="71">
        <f t="shared" ref="I34" si="5">+I12-I32</f>
        <v>5074</v>
      </c>
      <c r="J34" s="124">
        <f t="shared" si="4"/>
        <v>1862</v>
      </c>
    </row>
    <row r="35" spans="2:10" x14ac:dyDescent="0.3">
      <c r="B35" s="45"/>
    </row>
  </sheetData>
  <mergeCells count="5">
    <mergeCell ref="B2:J2"/>
    <mergeCell ref="B3:J3"/>
    <mergeCell ref="B4:J4"/>
    <mergeCell ref="B5:J5"/>
    <mergeCell ref="B13:J13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75AD-90CF-4400-8A80-4B5A4731862E}">
  <sheetPr codeName="Sheet11">
    <pageSetUpPr fitToPage="1"/>
  </sheetPr>
  <dimension ref="B2:J34"/>
  <sheetViews>
    <sheetView topLeftCell="A3" workbookViewId="0">
      <selection sqref="A1:K35"/>
    </sheetView>
  </sheetViews>
  <sheetFormatPr defaultRowHeight="14.4" x14ac:dyDescent="0.3"/>
  <cols>
    <col min="1" max="1" width="2.44140625" customWidth="1"/>
    <col min="2" max="2" width="7.5546875" customWidth="1"/>
    <col min="3" max="3" width="25.5546875" customWidth="1"/>
    <col min="4" max="10" width="10.6640625" customWidth="1"/>
    <col min="11" max="11" width="3" customWidth="1"/>
  </cols>
  <sheetData>
    <row r="2" spans="2:10" ht="18" x14ac:dyDescent="0.35">
      <c r="B2" s="234" t="s">
        <v>1</v>
      </c>
      <c r="C2" s="250"/>
      <c r="D2" s="250"/>
      <c r="E2" s="250"/>
      <c r="F2" s="250"/>
      <c r="G2" s="250"/>
      <c r="H2" s="250"/>
      <c r="I2" s="250"/>
      <c r="J2" s="251"/>
    </row>
    <row r="3" spans="2:10" ht="18" x14ac:dyDescent="0.35">
      <c r="B3" s="237" t="s">
        <v>208</v>
      </c>
      <c r="C3" s="238"/>
      <c r="D3" s="238"/>
      <c r="E3" s="238"/>
      <c r="F3" s="238"/>
      <c r="G3" s="238"/>
      <c r="H3" s="238"/>
      <c r="I3" s="238"/>
      <c r="J3" s="239"/>
    </row>
    <row r="4" spans="2:10" ht="18" x14ac:dyDescent="0.35">
      <c r="B4" s="240" t="s">
        <v>198</v>
      </c>
      <c r="C4" s="241"/>
      <c r="D4" s="241"/>
      <c r="E4" s="241"/>
      <c r="F4" s="241"/>
      <c r="G4" s="241"/>
      <c r="H4" s="241"/>
      <c r="I4" s="241"/>
      <c r="J4" s="242"/>
    </row>
    <row r="5" spans="2:10" ht="15.6" x14ac:dyDescent="0.3">
      <c r="B5" s="243" t="s">
        <v>2</v>
      </c>
      <c r="C5" s="244"/>
      <c r="D5" s="244"/>
      <c r="E5" s="244"/>
      <c r="F5" s="244"/>
      <c r="G5" s="244"/>
      <c r="H5" s="244"/>
      <c r="I5" s="244"/>
      <c r="J5" s="245"/>
    </row>
    <row r="6" spans="2:10" x14ac:dyDescent="0.3">
      <c r="B6" s="255" t="s">
        <v>108</v>
      </c>
      <c r="C6" s="256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68" t="s">
        <v>199</v>
      </c>
      <c r="J6" s="131" t="s">
        <v>215</v>
      </c>
    </row>
    <row r="7" spans="2:10" ht="28.8" x14ac:dyDescent="0.3">
      <c r="B7" s="4" t="s">
        <v>8</v>
      </c>
      <c r="C7" s="30" t="s">
        <v>9</v>
      </c>
      <c r="D7" s="83" t="s">
        <v>10</v>
      </c>
      <c r="E7" s="83" t="s">
        <v>10</v>
      </c>
      <c r="F7" s="83" t="s">
        <v>10</v>
      </c>
      <c r="G7" s="83" t="s">
        <v>10</v>
      </c>
      <c r="H7" s="83" t="s">
        <v>10</v>
      </c>
      <c r="I7" s="173" t="s">
        <v>181</v>
      </c>
      <c r="J7" s="174" t="s">
        <v>200</v>
      </c>
    </row>
    <row r="8" spans="2:10" x14ac:dyDescent="0.3">
      <c r="B8" s="32"/>
      <c r="C8" s="5"/>
      <c r="D8" s="29" t="s">
        <v>12</v>
      </c>
      <c r="E8" s="29" t="s">
        <v>12</v>
      </c>
      <c r="F8" s="29" t="s">
        <v>12</v>
      </c>
      <c r="G8" s="7" t="s">
        <v>12</v>
      </c>
      <c r="H8" s="161" t="s">
        <v>12</v>
      </c>
      <c r="I8" s="74" t="s">
        <v>12</v>
      </c>
      <c r="J8" s="126" t="s">
        <v>12</v>
      </c>
    </row>
    <row r="9" spans="2:10" x14ac:dyDescent="0.3">
      <c r="B9" s="11">
        <v>4900</v>
      </c>
      <c r="C9" s="2" t="s">
        <v>69</v>
      </c>
      <c r="D9" s="64">
        <v>759192</v>
      </c>
      <c r="E9" s="64">
        <v>767015</v>
      </c>
      <c r="F9" s="64">
        <v>810124</v>
      </c>
      <c r="G9" s="64">
        <v>808866</v>
      </c>
      <c r="H9" s="64">
        <v>833239</v>
      </c>
      <c r="I9" s="82">
        <v>1024065</v>
      </c>
      <c r="J9" s="136">
        <f>1132968-10385</f>
        <v>1122583</v>
      </c>
    </row>
    <row r="10" spans="2:10" x14ac:dyDescent="0.3">
      <c r="B10" s="11"/>
      <c r="C10" s="2"/>
      <c r="D10" s="56">
        <f t="shared" ref="D10:H10" si="0">D9</f>
        <v>759192</v>
      </c>
      <c r="E10" s="56">
        <f t="shared" si="0"/>
        <v>767015</v>
      </c>
      <c r="F10" s="56">
        <f t="shared" si="0"/>
        <v>810124</v>
      </c>
      <c r="G10" s="56">
        <f t="shared" si="0"/>
        <v>808866</v>
      </c>
      <c r="H10" s="56">
        <f t="shared" si="0"/>
        <v>833239</v>
      </c>
      <c r="I10" s="71">
        <f>I9</f>
        <v>1024065</v>
      </c>
      <c r="J10" s="118">
        <f>J9</f>
        <v>1122583</v>
      </c>
    </row>
    <row r="11" spans="2:10" x14ac:dyDescent="0.3">
      <c r="B11" s="61" t="s">
        <v>74</v>
      </c>
      <c r="C11" s="2"/>
      <c r="D11" s="21"/>
      <c r="E11" s="21"/>
      <c r="F11" s="21"/>
      <c r="G11" s="21"/>
      <c r="H11" s="21"/>
      <c r="I11" s="73"/>
      <c r="J11" s="125"/>
    </row>
    <row r="12" spans="2:10" x14ac:dyDescent="0.3">
      <c r="B12" s="11"/>
      <c r="C12" s="2" t="s">
        <v>93</v>
      </c>
      <c r="D12" s="60">
        <v>21241</v>
      </c>
      <c r="E12" s="21"/>
      <c r="F12" s="21"/>
      <c r="G12" s="21"/>
      <c r="H12" s="21"/>
      <c r="I12" s="73"/>
      <c r="J12" s="125"/>
    </row>
    <row r="13" spans="2:10" x14ac:dyDescent="0.3">
      <c r="B13" s="11">
        <v>4910</v>
      </c>
      <c r="C13" s="2" t="s">
        <v>70</v>
      </c>
      <c r="D13" s="60">
        <f>6179.16</f>
        <v>6179.16</v>
      </c>
      <c r="E13" s="60">
        <v>31942</v>
      </c>
      <c r="F13" s="60">
        <v>6540.99</v>
      </c>
      <c r="G13" s="60">
        <v>904</v>
      </c>
      <c r="H13" s="60">
        <v>974</v>
      </c>
      <c r="I13" s="75">
        <v>461</v>
      </c>
      <c r="J13" s="136">
        <v>500</v>
      </c>
    </row>
    <row r="14" spans="2:10" x14ac:dyDescent="0.3">
      <c r="B14" s="11">
        <v>4920</v>
      </c>
      <c r="C14" s="2" t="s">
        <v>71</v>
      </c>
      <c r="D14" s="60">
        <f>15.38+1016.69</f>
        <v>1032.0700000000002</v>
      </c>
      <c r="E14" s="60">
        <v>996</v>
      </c>
      <c r="F14" s="60">
        <v>277.91000000000003</v>
      </c>
      <c r="G14" s="60">
        <v>44</v>
      </c>
      <c r="H14" s="60">
        <v>19</v>
      </c>
      <c r="I14" s="75">
        <v>66</v>
      </c>
      <c r="J14" s="136">
        <v>45</v>
      </c>
    </row>
    <row r="15" spans="2:10" x14ac:dyDescent="0.3">
      <c r="B15" s="11">
        <v>4930</v>
      </c>
      <c r="C15" s="2" t="s">
        <v>72</v>
      </c>
      <c r="D15" s="60">
        <v>37636.99</v>
      </c>
      <c r="E15" s="60">
        <v>37119</v>
      </c>
      <c r="F15" s="60">
        <v>28240.02</v>
      </c>
      <c r="G15" s="60">
        <v>35607</v>
      </c>
      <c r="H15" s="60">
        <v>35274</v>
      </c>
      <c r="I15" s="75">
        <v>35430</v>
      </c>
      <c r="J15" s="136">
        <v>35000</v>
      </c>
    </row>
    <row r="16" spans="2:10" x14ac:dyDescent="0.3">
      <c r="B16" s="11"/>
      <c r="C16" s="2" t="s">
        <v>156</v>
      </c>
      <c r="D16" s="60"/>
      <c r="E16" s="60"/>
      <c r="F16" s="60"/>
      <c r="G16" s="60"/>
      <c r="H16" s="60"/>
      <c r="I16" s="75"/>
      <c r="J16" s="136">
        <v>0</v>
      </c>
    </row>
    <row r="17" spans="2:10" x14ac:dyDescent="0.3">
      <c r="B17" s="11">
        <v>4950</v>
      </c>
      <c r="C17" s="2" t="s">
        <v>155</v>
      </c>
      <c r="D17" s="60">
        <v>1666.67</v>
      </c>
      <c r="E17" s="60"/>
      <c r="F17" s="60">
        <v>0</v>
      </c>
      <c r="G17" s="60">
        <v>0</v>
      </c>
      <c r="H17" s="60">
        <v>650</v>
      </c>
      <c r="I17" s="75"/>
      <c r="J17" s="136">
        <v>0</v>
      </c>
    </row>
    <row r="18" spans="2:10" x14ac:dyDescent="0.3">
      <c r="B18" s="11"/>
      <c r="C18" s="2" t="s">
        <v>106</v>
      </c>
      <c r="D18" s="60">
        <v>182034.33</v>
      </c>
      <c r="E18" s="21"/>
      <c r="F18" s="60">
        <v>0</v>
      </c>
      <c r="G18" s="60">
        <v>14591</v>
      </c>
      <c r="H18" s="60">
        <v>25910</v>
      </c>
      <c r="I18" s="75"/>
      <c r="J18" s="136">
        <v>0</v>
      </c>
    </row>
    <row r="19" spans="2:10" x14ac:dyDescent="0.3">
      <c r="B19" s="11"/>
      <c r="C19" s="2" t="s">
        <v>156</v>
      </c>
      <c r="D19" s="21"/>
      <c r="E19" s="21"/>
      <c r="F19" s="60">
        <v>39830</v>
      </c>
      <c r="G19" s="60"/>
      <c r="H19" s="60"/>
      <c r="I19" s="75">
        <v>0</v>
      </c>
      <c r="J19" s="136">
        <v>0</v>
      </c>
    </row>
    <row r="20" spans="2:10" x14ac:dyDescent="0.3">
      <c r="B20" s="11"/>
      <c r="C20" s="2" t="s">
        <v>177</v>
      </c>
      <c r="D20" s="21"/>
      <c r="E20" s="21"/>
      <c r="F20" s="60"/>
      <c r="G20" s="60"/>
      <c r="H20" s="60">
        <v>154313</v>
      </c>
      <c r="I20" s="75">
        <v>72441</v>
      </c>
      <c r="J20" s="136">
        <v>0</v>
      </c>
    </row>
    <row r="21" spans="2:10" x14ac:dyDescent="0.3">
      <c r="B21" s="35"/>
      <c r="C21" s="36"/>
      <c r="D21" s="21"/>
      <c r="E21" s="21"/>
      <c r="F21" s="21"/>
      <c r="G21" s="21"/>
      <c r="H21" s="21"/>
      <c r="I21" s="76"/>
      <c r="J21" s="144"/>
    </row>
    <row r="22" spans="2:10" x14ac:dyDescent="0.3">
      <c r="B22" s="37" t="s">
        <v>113</v>
      </c>
      <c r="C22" s="38"/>
      <c r="D22" s="56">
        <f>SUM(D12:D21)</f>
        <v>249790.21999999997</v>
      </c>
      <c r="E22" s="56">
        <f>SUM(E12:E21)</f>
        <v>70057</v>
      </c>
      <c r="F22" s="56">
        <f>SUM(F12:F21)</f>
        <v>74888.92</v>
      </c>
      <c r="G22" s="56">
        <f>SUM(G12:G21)</f>
        <v>51146</v>
      </c>
      <c r="H22" s="56">
        <f>SUM(H12:H21)</f>
        <v>217140</v>
      </c>
      <c r="I22" s="71">
        <f>SUM(I13:I21)</f>
        <v>108398</v>
      </c>
      <c r="J22" s="118">
        <f>SUM(J13:J21)</f>
        <v>35545</v>
      </c>
    </row>
    <row r="23" spans="2:10" ht="15.6" x14ac:dyDescent="0.3">
      <c r="B23" s="252" t="s">
        <v>15</v>
      </c>
      <c r="C23" s="253"/>
      <c r="D23" s="253"/>
      <c r="E23" s="253"/>
      <c r="F23" s="253"/>
      <c r="G23" s="253"/>
      <c r="H23" s="253"/>
      <c r="I23" s="253"/>
      <c r="J23" s="254"/>
    </row>
    <row r="24" spans="2:10" x14ac:dyDescent="0.3">
      <c r="B24" s="26" t="str">
        <f>B11</f>
        <v>OTHER</v>
      </c>
      <c r="C24" s="101"/>
      <c r="D24" s="16" t="s">
        <v>3</v>
      </c>
      <c r="E24" s="16" t="s">
        <v>4</v>
      </c>
      <c r="F24" s="16" t="s">
        <v>5</v>
      </c>
      <c r="G24" s="16" t="s">
        <v>6</v>
      </c>
      <c r="H24" s="16" t="s">
        <v>7</v>
      </c>
      <c r="I24" s="68" t="s">
        <v>199</v>
      </c>
      <c r="J24" s="131" t="s">
        <v>215</v>
      </c>
    </row>
    <row r="25" spans="2:10" ht="28.8" x14ac:dyDescent="0.3">
      <c r="B25" s="1" t="str">
        <f>+B7</f>
        <v>N/C</v>
      </c>
      <c r="C25" s="102" t="str">
        <f t="shared" ref="C25" si="1">+C7</f>
        <v>NAME</v>
      </c>
      <c r="D25" s="83" t="s">
        <v>10</v>
      </c>
      <c r="E25" s="83" t="s">
        <v>10</v>
      </c>
      <c r="F25" s="83" t="s">
        <v>10</v>
      </c>
      <c r="G25" s="83" t="s">
        <v>10</v>
      </c>
      <c r="H25" s="83" t="s">
        <v>10</v>
      </c>
      <c r="I25" s="173" t="s">
        <v>181</v>
      </c>
      <c r="J25" s="174" t="s">
        <v>200</v>
      </c>
    </row>
    <row r="26" spans="2:10" x14ac:dyDescent="0.3">
      <c r="B26" s="11"/>
      <c r="C26" s="103"/>
      <c r="D26" s="29" t="s">
        <v>12</v>
      </c>
      <c r="E26" s="29" t="s">
        <v>12</v>
      </c>
      <c r="F26" s="29" t="s">
        <v>12</v>
      </c>
      <c r="G26" s="29" t="s">
        <v>12</v>
      </c>
      <c r="H26" s="161" t="s">
        <v>12</v>
      </c>
      <c r="I26" s="74" t="s">
        <v>12</v>
      </c>
      <c r="J26" s="126" t="s">
        <v>12</v>
      </c>
    </row>
    <row r="27" spans="2:10" x14ac:dyDescent="0.3">
      <c r="B27" s="11"/>
      <c r="C27" s="103" t="s">
        <v>73</v>
      </c>
      <c r="D27" s="60">
        <v>128389.19</v>
      </c>
      <c r="E27" s="21"/>
      <c r="F27" s="60">
        <v>26142.27</v>
      </c>
      <c r="G27" s="60">
        <v>0</v>
      </c>
      <c r="H27" s="60"/>
      <c r="I27" s="75">
        <v>0</v>
      </c>
      <c r="J27" s="136">
        <v>0</v>
      </c>
    </row>
    <row r="28" spans="2:10" x14ac:dyDescent="0.3">
      <c r="B28" s="11"/>
      <c r="C28" s="103" t="s">
        <v>251</v>
      </c>
      <c r="D28" s="60"/>
      <c r="E28" s="21"/>
      <c r="F28" s="60"/>
      <c r="G28" s="60"/>
      <c r="H28" s="60"/>
      <c r="I28" s="75"/>
      <c r="J28" s="136">
        <v>30000</v>
      </c>
    </row>
    <row r="29" spans="2:10" x14ac:dyDescent="0.3">
      <c r="B29" s="11"/>
      <c r="C29" s="103" t="s">
        <v>255</v>
      </c>
      <c r="D29" s="60"/>
      <c r="E29" s="21"/>
      <c r="F29" s="60"/>
      <c r="G29" s="60"/>
      <c r="H29" s="60"/>
      <c r="I29" s="75"/>
      <c r="J29" s="136">
        <v>4000</v>
      </c>
    </row>
    <row r="30" spans="2:10" x14ac:dyDescent="0.3">
      <c r="B30" s="11"/>
      <c r="C30" s="103" t="s">
        <v>247</v>
      </c>
      <c r="D30" s="60"/>
      <c r="E30" s="60"/>
      <c r="F30" s="60"/>
      <c r="G30" s="60"/>
      <c r="H30" s="60">
        <v>192229</v>
      </c>
      <c r="I30" s="75">
        <v>72441</v>
      </c>
      <c r="J30" s="136"/>
    </row>
    <row r="31" spans="2:10" x14ac:dyDescent="0.3">
      <c r="B31" s="11"/>
      <c r="C31" s="103" t="s">
        <v>170</v>
      </c>
      <c r="D31" s="60">
        <v>4850.25</v>
      </c>
      <c r="E31" s="60">
        <v>4164.95</v>
      </c>
      <c r="F31" s="60">
        <v>110</v>
      </c>
      <c r="G31" s="60">
        <v>426</v>
      </c>
      <c r="H31" s="60">
        <v>7002</v>
      </c>
      <c r="I31" s="75">
        <v>1908</v>
      </c>
      <c r="J31" s="136">
        <v>2500</v>
      </c>
    </row>
    <row r="32" spans="2:10" x14ac:dyDescent="0.3">
      <c r="B32" s="37" t="s">
        <v>113</v>
      </c>
      <c r="C32" s="38"/>
      <c r="D32" s="53">
        <f t="shared" ref="D32:J32" si="2">SUM(D26:D31)</f>
        <v>133239.44</v>
      </c>
      <c r="E32" s="56">
        <f t="shared" si="2"/>
        <v>4164.95</v>
      </c>
      <c r="F32" s="56">
        <f t="shared" si="2"/>
        <v>26252.27</v>
      </c>
      <c r="G32" s="56">
        <f t="shared" si="2"/>
        <v>426</v>
      </c>
      <c r="H32" s="56">
        <f t="shared" si="2"/>
        <v>199231</v>
      </c>
      <c r="I32" s="71">
        <f t="shared" si="2"/>
        <v>74349</v>
      </c>
      <c r="J32" s="118">
        <f t="shared" si="2"/>
        <v>36500</v>
      </c>
    </row>
    <row r="34" spans="2:10" x14ac:dyDescent="0.3">
      <c r="B34" s="23" t="s">
        <v>143</v>
      </c>
      <c r="C34" s="24"/>
      <c r="D34" s="53">
        <f>+D22-D32</f>
        <v>116550.77999999997</v>
      </c>
      <c r="E34" s="56">
        <f>+E22-E32</f>
        <v>65892.05</v>
      </c>
      <c r="F34" s="56">
        <f>+F22-F32</f>
        <v>48636.649999999994</v>
      </c>
      <c r="G34" s="56">
        <f>+G22-G32</f>
        <v>50720</v>
      </c>
      <c r="H34" s="56">
        <f>+H22-H32</f>
        <v>17909</v>
      </c>
      <c r="I34" s="71">
        <f>I22-I32</f>
        <v>34049</v>
      </c>
      <c r="J34" s="118">
        <f>J22-J32</f>
        <v>-955</v>
      </c>
    </row>
  </sheetData>
  <mergeCells count="6">
    <mergeCell ref="B2:J2"/>
    <mergeCell ref="B3:J3"/>
    <mergeCell ref="B4:J4"/>
    <mergeCell ref="B5:J5"/>
    <mergeCell ref="B23:J23"/>
    <mergeCell ref="B6:C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Page</vt:lpstr>
      <vt:lpstr>Summary</vt:lpstr>
      <vt:lpstr>Personnel &amp; Finance</vt:lpstr>
      <vt:lpstr>Venues &amp; Markets</vt:lpstr>
      <vt:lpstr>Heritage Events</vt:lpstr>
      <vt:lpstr>Cemetery</vt:lpstr>
      <vt:lpstr>Amenities</vt:lpstr>
      <vt:lpstr>Allotments</vt:lpstr>
      <vt:lpstr>Rates Precept and Other</vt:lpstr>
      <vt:lpstr>Contributions to Reserves</vt:lpstr>
      <vt:lpstr>Allotments!Print_Area</vt:lpstr>
      <vt:lpstr>Amenities!Print_Area</vt:lpstr>
      <vt:lpstr>Cemetery!Print_Area</vt:lpstr>
      <vt:lpstr>'Contributions to Reserves'!Print_Area</vt:lpstr>
      <vt:lpstr>'Cover Page'!Print_Area</vt:lpstr>
      <vt:lpstr>'Heritage Events'!Print_Area</vt:lpstr>
      <vt:lpstr>'Personnel &amp; Finance'!Print_Area</vt:lpstr>
      <vt:lpstr>'Rates Precept and Other'!Print_Area</vt:lpstr>
      <vt:lpstr>Summary!Print_Area</vt:lpstr>
      <vt:lpstr>'Venues &amp; Markets'!Print_Area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Yorke</dc:creator>
  <cp:lastModifiedBy>Alan Yorke</cp:lastModifiedBy>
  <cp:lastPrinted>2023-12-18T12:33:45Z</cp:lastPrinted>
  <dcterms:created xsi:type="dcterms:W3CDTF">2019-09-23T10:46:43Z</dcterms:created>
  <dcterms:modified xsi:type="dcterms:W3CDTF">2024-08-21T14:22:27Z</dcterms:modified>
</cp:coreProperties>
</file>