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tfordtc-my.sharepoint.com/personal/alanyorke_thetfordtowncouncil_gov_uk/Documents/Documents/A Yorke working files/Budget/Budget 2023_24/"/>
    </mc:Choice>
  </mc:AlternateContent>
  <xr:revisionPtr revIDLastSave="10" documentId="8_{87801A68-4795-4F6F-B7A8-AB2A94078350}" xr6:coauthVersionLast="47" xr6:coauthVersionMax="47" xr10:uidLastSave="{25734ADF-8851-4D2F-B57F-9ADDE746BE0F}"/>
  <bookViews>
    <workbookView xWindow="-28920" yWindow="-15" windowWidth="29040" windowHeight="15720" activeTab="1" xr2:uid="{9A42A1BA-572E-41EA-97CE-D57019B5C404}"/>
  </bookViews>
  <sheets>
    <sheet name="Cover Page" sheetId="16" r:id="rId1"/>
    <sheet name="Summary" sheetId="10" r:id="rId2"/>
    <sheet name="Personnel" sheetId="2" r:id="rId3"/>
    <sheet name="V&amp;C" sheetId="3" r:id="rId4"/>
    <sheet name="Heritage Town Events" sheetId="4" r:id="rId5"/>
    <sheet name="Amenities" sheetId="5" r:id="rId6"/>
    <sheet name="Cemetery" sheetId="6" r:id="rId7"/>
    <sheet name="Allotments" sheetId="7" r:id="rId8"/>
    <sheet name="Rates Precept and Other" sheetId="9" r:id="rId9"/>
    <sheet name="Contributions to Reserves" sheetId="13" r:id="rId10"/>
    <sheet name="Reserve Summary" sheetId="17" r:id="rId11"/>
  </sheets>
  <definedNames>
    <definedName name="_xlnm.Print_Area" localSheetId="7">Allotments!$A$1:$J$35</definedName>
    <definedName name="_xlnm.Print_Area" localSheetId="5">Amenities!$A$1:$J$62</definedName>
    <definedName name="_xlnm.Print_Area" localSheetId="6">Cemetery!$A$1:$J$33</definedName>
    <definedName name="_xlnm.Print_Area" localSheetId="9">'Contributions to Reserves'!$A$1:$J$42</definedName>
    <definedName name="_xlnm.Print_Area" localSheetId="0">'Cover Page'!$A$1:$K$36</definedName>
    <definedName name="_xlnm.Print_Area" localSheetId="4">'Heritage Town Events'!$A$1:$J$26</definedName>
    <definedName name="_xlnm.Print_Area" localSheetId="2">Personnel!$A$1:$J$49</definedName>
    <definedName name="_xlnm.Print_Area" localSheetId="8">'Rates Precept and Other'!$A$1:$J$33</definedName>
    <definedName name="_xlnm.Print_Area" localSheetId="1">Summary!$A$1:$J$47</definedName>
    <definedName name="_xlnm.Print_Area" localSheetId="3">'V&amp;C'!$A$1:$J$44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0" l="1"/>
  <c r="M8" i="17"/>
  <c r="L8" i="17"/>
  <c r="J11" i="17"/>
  <c r="J29" i="17"/>
  <c r="M25" i="17"/>
  <c r="M18" i="17" s="1"/>
  <c r="L25" i="17"/>
  <c r="L18" i="17" s="1"/>
  <c r="M33" i="17"/>
  <c r="L33" i="17"/>
  <c r="M40" i="17"/>
  <c r="L40" i="17"/>
  <c r="M44" i="17"/>
  <c r="L44" i="17"/>
  <c r="J17" i="17"/>
  <c r="I11" i="17" l="1"/>
  <c r="I22" i="17"/>
  <c r="K12" i="17"/>
  <c r="N12" i="17" s="1"/>
  <c r="J24" i="17"/>
  <c r="H28" i="17" l="1"/>
  <c r="K28" i="17" s="1"/>
  <c r="N28" i="17" s="1"/>
  <c r="H30" i="17"/>
  <c r="K30" i="17" s="1"/>
  <c r="N30" i="17" s="1"/>
  <c r="H37" i="17"/>
  <c r="K37" i="17" s="1"/>
  <c r="N37" i="17" s="1"/>
  <c r="H29" i="17"/>
  <c r="K29" i="17" s="1"/>
  <c r="N29" i="17" s="1"/>
  <c r="G26" i="17"/>
  <c r="H27" i="17"/>
  <c r="K27" i="17" s="1"/>
  <c r="N27" i="17" s="1"/>
  <c r="G13" i="17"/>
  <c r="F13" i="17"/>
  <c r="G24" i="17"/>
  <c r="G17" i="17"/>
  <c r="G16" i="17"/>
  <c r="G11" i="17"/>
  <c r="E45" i="17"/>
  <c r="H13" i="17" l="1"/>
  <c r="K13" i="17" s="1"/>
  <c r="N13" i="17" s="1"/>
  <c r="H45" i="17" l="1"/>
  <c r="K45" i="17" s="1"/>
  <c r="J44" i="17"/>
  <c r="G44" i="17"/>
  <c r="E44" i="17"/>
  <c r="H43" i="17"/>
  <c r="K43" i="17" s="1"/>
  <c r="N43" i="17" s="1"/>
  <c r="H42" i="17"/>
  <c r="K42" i="17" s="1"/>
  <c r="N42" i="17" s="1"/>
  <c r="H41" i="17"/>
  <c r="K41" i="17" s="1"/>
  <c r="N41" i="17" s="1"/>
  <c r="J40" i="17"/>
  <c r="I40" i="17"/>
  <c r="G40" i="17"/>
  <c r="F40" i="17"/>
  <c r="E40" i="17"/>
  <c r="H39" i="17"/>
  <c r="K39" i="17" s="1"/>
  <c r="N39" i="17" s="1"/>
  <c r="H38" i="17"/>
  <c r="K38" i="17" s="1"/>
  <c r="N38" i="17" s="1"/>
  <c r="H36" i="17"/>
  <c r="K36" i="17" s="1"/>
  <c r="N36" i="17" s="1"/>
  <c r="H35" i="17"/>
  <c r="H34" i="17"/>
  <c r="K34" i="17" s="1"/>
  <c r="N34" i="17" s="1"/>
  <c r="J33" i="17"/>
  <c r="I33" i="17"/>
  <c r="G33" i="17"/>
  <c r="F33" i="17"/>
  <c r="E33" i="17"/>
  <c r="H32" i="17"/>
  <c r="K32" i="17" s="1"/>
  <c r="N32" i="17" s="1"/>
  <c r="H31" i="17"/>
  <c r="K31" i="17" s="1"/>
  <c r="N31" i="17" s="1"/>
  <c r="H26" i="17"/>
  <c r="K26" i="17" s="1"/>
  <c r="N26" i="17" s="1"/>
  <c r="J25" i="17"/>
  <c r="I25" i="17"/>
  <c r="G25" i="17"/>
  <c r="F25" i="17"/>
  <c r="E25" i="17"/>
  <c r="H24" i="17"/>
  <c r="K24" i="17" s="1"/>
  <c r="N24" i="17" s="1"/>
  <c r="H23" i="17"/>
  <c r="K23" i="17" s="1"/>
  <c r="N23" i="17" s="1"/>
  <c r="H22" i="17"/>
  <c r="K22" i="17" s="1"/>
  <c r="N22" i="17" s="1"/>
  <c r="H21" i="17"/>
  <c r="K21" i="17" s="1"/>
  <c r="N21" i="17" s="1"/>
  <c r="H20" i="17"/>
  <c r="H19" i="17"/>
  <c r="K19" i="17" s="1"/>
  <c r="N19" i="17" s="1"/>
  <c r="J18" i="17"/>
  <c r="I18" i="17"/>
  <c r="G18" i="17"/>
  <c r="F18" i="17"/>
  <c r="E18" i="17"/>
  <c r="H17" i="17"/>
  <c r="K17" i="17" s="1"/>
  <c r="N17" i="17" s="1"/>
  <c r="H16" i="17"/>
  <c r="K16" i="17" s="1"/>
  <c r="N16" i="17" s="1"/>
  <c r="H15" i="17"/>
  <c r="K15" i="17" s="1"/>
  <c r="N15" i="17" s="1"/>
  <c r="H14" i="17"/>
  <c r="K14" i="17" s="1"/>
  <c r="N14" i="17" s="1"/>
  <c r="H11" i="17"/>
  <c r="K11" i="17" s="1"/>
  <c r="N11" i="17" s="1"/>
  <c r="H10" i="17"/>
  <c r="K10" i="17" s="1"/>
  <c r="N10" i="17" s="1"/>
  <c r="H9" i="17"/>
  <c r="K9" i="17" s="1"/>
  <c r="N9" i="17" s="1"/>
  <c r="J8" i="17"/>
  <c r="I8" i="17"/>
  <c r="G8" i="17"/>
  <c r="F8" i="17"/>
  <c r="E8" i="17"/>
  <c r="N40" i="17" l="1"/>
  <c r="N25" i="17"/>
  <c r="K44" i="17"/>
  <c r="N45" i="17"/>
  <c r="N44" i="17" s="1"/>
  <c r="N8" i="17"/>
  <c r="H18" i="17"/>
  <c r="J46" i="17"/>
  <c r="E46" i="17"/>
  <c r="F46" i="17"/>
  <c r="H33" i="17"/>
  <c r="H44" i="17"/>
  <c r="G46" i="17"/>
  <c r="I46" i="17"/>
  <c r="K8" i="17"/>
  <c r="K25" i="17"/>
  <c r="K40" i="17"/>
  <c r="H8" i="17"/>
  <c r="H25" i="17"/>
  <c r="H40" i="17"/>
  <c r="K20" i="17"/>
  <c r="K35" i="17"/>
  <c r="K33" i="17" l="1"/>
  <c r="N35" i="17"/>
  <c r="N33" i="17" s="1"/>
  <c r="K18" i="17"/>
  <c r="K46" i="17" s="1"/>
  <c r="N20" i="17"/>
  <c r="N18" i="17" s="1"/>
  <c r="N46" i="17" s="1"/>
  <c r="H46" i="17"/>
  <c r="I16" i="2" l="1"/>
  <c r="I43" i="5" l="1"/>
  <c r="I25" i="5"/>
  <c r="H29" i="9" l="1"/>
  <c r="I44" i="10" l="1"/>
  <c r="I46" i="10" s="1"/>
  <c r="I40" i="10"/>
  <c r="I25" i="6"/>
  <c r="I17" i="7"/>
  <c r="I46" i="5"/>
  <c r="H10" i="13" l="1"/>
  <c r="H40" i="13"/>
  <c r="H31" i="10" s="1"/>
  <c r="G17" i="7"/>
  <c r="G32" i="7" s="1"/>
  <c r="G29" i="10" s="1"/>
  <c r="G9" i="7"/>
  <c r="H30" i="9"/>
  <c r="H32" i="9" s="1"/>
  <c r="H22" i="9"/>
  <c r="H16" i="10" s="1"/>
  <c r="H9" i="9"/>
  <c r="H10" i="9" s="1"/>
  <c r="H17" i="7"/>
  <c r="H32" i="7" s="1"/>
  <c r="H34" i="7" s="1"/>
  <c r="H16" i="7"/>
  <c r="H12" i="7"/>
  <c r="H14" i="10" s="1"/>
  <c r="G32" i="5"/>
  <c r="G25" i="5"/>
  <c r="H30" i="10" l="1"/>
  <c r="H29" i="10"/>
  <c r="H42" i="13"/>
  <c r="H30" i="6" l="1"/>
  <c r="H28" i="10" s="1"/>
  <c r="H20" i="6"/>
  <c r="H16" i="6"/>
  <c r="H13" i="10" s="1"/>
  <c r="H21" i="5"/>
  <c r="H20" i="5"/>
  <c r="H19" i="5"/>
  <c r="H43" i="5"/>
  <c r="H40" i="5"/>
  <c r="H39" i="5"/>
  <c r="H37" i="5"/>
  <c r="H36" i="5"/>
  <c r="H25" i="5"/>
  <c r="H17" i="5"/>
  <c r="H12" i="10" s="1"/>
  <c r="H32" i="6" l="1"/>
  <c r="H32" i="5"/>
  <c r="H59" i="5" s="1"/>
  <c r="H11" i="4"/>
  <c r="H23" i="4"/>
  <c r="H26" i="10" s="1"/>
  <c r="H61" i="5" l="1"/>
  <c r="H27" i="10"/>
  <c r="H11" i="10"/>
  <c r="H25" i="4"/>
  <c r="G31" i="3" l="1"/>
  <c r="G10" i="3"/>
  <c r="H24" i="3"/>
  <c r="H41" i="3" s="1"/>
  <c r="H19" i="3"/>
  <c r="H10" i="10" s="1"/>
  <c r="H43" i="3" l="1"/>
  <c r="H25" i="10"/>
  <c r="H40" i="2" l="1"/>
  <c r="H36" i="2"/>
  <c r="H46" i="2" s="1"/>
  <c r="H15" i="2"/>
  <c r="H11" i="2"/>
  <c r="H9" i="10" s="1"/>
  <c r="H23" i="10"/>
  <c r="H48" i="2" l="1"/>
  <c r="H24" i="10"/>
  <c r="I9" i="9" l="1"/>
  <c r="F10" i="3"/>
  <c r="E10" i="3"/>
  <c r="D10" i="3"/>
  <c r="G23" i="4"/>
  <c r="I30" i="9" l="1"/>
  <c r="I10" i="9"/>
  <c r="I22" i="9"/>
  <c r="G40" i="13"/>
  <c r="G31" i="10" s="1"/>
  <c r="G42" i="13" l="1"/>
  <c r="I32" i="9"/>
  <c r="G11" i="4"/>
  <c r="G25" i="4" s="1"/>
  <c r="I30" i="10" l="1"/>
  <c r="I16" i="10"/>
  <c r="G26" i="10"/>
  <c r="G11" i="10"/>
  <c r="F17" i="7"/>
  <c r="F9" i="7"/>
  <c r="G12" i="7" l="1"/>
  <c r="G14" i="10" s="1"/>
  <c r="I41" i="3"/>
  <c r="I25" i="10" s="1"/>
  <c r="I19" i="3"/>
  <c r="I10" i="10" s="1"/>
  <c r="G41" i="3"/>
  <c r="G25" i="10" s="1"/>
  <c r="G34" i="7" l="1"/>
  <c r="I43" i="3"/>
  <c r="G30" i="6"/>
  <c r="G16" i="6"/>
  <c r="G13" i="10" s="1"/>
  <c r="G11" i="2"/>
  <c r="G9" i="10" s="1"/>
  <c r="G32" i="6" l="1"/>
  <c r="G28" i="10"/>
  <c r="F32" i="2"/>
  <c r="G46" i="2" l="1"/>
  <c r="G24" i="10" s="1"/>
  <c r="G15" i="10"/>
  <c r="H40" i="10" l="1"/>
  <c r="G48" i="2"/>
  <c r="F40" i="13" l="1"/>
  <c r="G10" i="9" l="1"/>
  <c r="F10" i="9"/>
  <c r="E10" i="9"/>
  <c r="D10" i="9"/>
  <c r="E40" i="13"/>
  <c r="E31" i="10" s="1"/>
  <c r="D40" i="13"/>
  <c r="D31" i="10" s="1"/>
  <c r="F10" i="13"/>
  <c r="E10" i="13"/>
  <c r="D10" i="13"/>
  <c r="C13" i="13"/>
  <c r="B13" i="13"/>
  <c r="F30" i="9"/>
  <c r="F30" i="10" s="1"/>
  <c r="F42" i="13" l="1"/>
  <c r="E42" i="13"/>
  <c r="D42" i="13"/>
  <c r="I32" i="7" l="1"/>
  <c r="I29" i="10" l="1"/>
  <c r="D27" i="6"/>
  <c r="D23" i="6"/>
  <c r="D21" i="6"/>
  <c r="D14" i="6"/>
  <c r="D13" i="6"/>
  <c r="D11" i="6"/>
  <c r="D10" i="6"/>
  <c r="C61" i="5" l="1"/>
  <c r="F59" i="5"/>
  <c r="E59" i="5"/>
  <c r="D56" i="5"/>
  <c r="D55" i="5"/>
  <c r="D54" i="5"/>
  <c r="D53" i="5"/>
  <c r="D52" i="5"/>
  <c r="D46" i="5"/>
  <c r="G43" i="5"/>
  <c r="D43" i="5"/>
  <c r="D42" i="5"/>
  <c r="D32" i="5"/>
  <c r="D31" i="5"/>
  <c r="D29" i="5"/>
  <c r="I32" i="5" l="1"/>
  <c r="D59" i="5"/>
  <c r="G59" i="5"/>
  <c r="G27" i="10" s="1"/>
  <c r="E27" i="10"/>
  <c r="F27" i="10"/>
  <c r="D27" i="10" l="1"/>
  <c r="F15" i="10"/>
  <c r="G40" i="10" l="1"/>
  <c r="E15" i="10"/>
  <c r="F46" i="2"/>
  <c r="F40" i="10" l="1"/>
  <c r="G22" i="9"/>
  <c r="G16" i="10" s="1"/>
  <c r="E11" i="2" l="1"/>
  <c r="E9" i="10" l="1"/>
  <c r="F22" i="9"/>
  <c r="F11" i="2"/>
  <c r="F9" i="10" l="1"/>
  <c r="E46" i="2"/>
  <c r="D15" i="10"/>
  <c r="E40" i="10" s="1"/>
  <c r="E22" i="9"/>
  <c r="E16" i="10" s="1"/>
  <c r="B24" i="9"/>
  <c r="D9" i="2"/>
  <c r="E30" i="9"/>
  <c r="E24" i="10" l="1"/>
  <c r="I11" i="2"/>
  <c r="I9" i="10" s="1"/>
  <c r="I46" i="2" l="1"/>
  <c r="I17" i="5"/>
  <c r="I12" i="10" s="1"/>
  <c r="G17" i="5"/>
  <c r="G12" i="10" s="1"/>
  <c r="F17" i="5"/>
  <c r="I24" i="10" l="1"/>
  <c r="F61" i="5"/>
  <c r="F12" i="10"/>
  <c r="G61" i="5"/>
  <c r="I11" i="4" l="1"/>
  <c r="F11" i="4"/>
  <c r="E11" i="4"/>
  <c r="D9" i="4"/>
  <c r="D11" i="4" s="1"/>
  <c r="I11" i="10" l="1"/>
  <c r="F11" i="10"/>
  <c r="E11" i="10"/>
  <c r="D14" i="9"/>
  <c r="D9" i="5"/>
  <c r="D11" i="5"/>
  <c r="D10" i="2"/>
  <c r="D11" i="2" s="1"/>
  <c r="D9" i="3"/>
  <c r="D13" i="9"/>
  <c r="D31" i="3"/>
  <c r="D33" i="3"/>
  <c r="D30" i="2"/>
  <c r="D38" i="2"/>
  <c r="D41" i="2"/>
  <c r="D23" i="2"/>
  <c r="D16" i="2"/>
  <c r="D35" i="2"/>
  <c r="D39" i="2"/>
  <c r="D22" i="2"/>
  <c r="D21" i="2"/>
  <c r="D25" i="2"/>
  <c r="D24" i="2"/>
  <c r="D28" i="2"/>
  <c r="D39" i="3"/>
  <c r="D17" i="7"/>
  <c r="D33" i="2"/>
  <c r="D29" i="3"/>
  <c r="D34" i="2"/>
  <c r="D27" i="2"/>
  <c r="D26" i="2"/>
  <c r="D27" i="3"/>
  <c r="D24" i="3"/>
  <c r="D18" i="4"/>
  <c r="D17" i="4"/>
  <c r="D19" i="4"/>
  <c r="D16" i="4"/>
  <c r="D31" i="2"/>
  <c r="D17" i="5" l="1"/>
  <c r="D12" i="10" s="1"/>
  <c r="D46" i="2"/>
  <c r="D22" i="9"/>
  <c r="E41" i="3"/>
  <c r="E19" i="3"/>
  <c r="E17" i="5"/>
  <c r="I23" i="10"/>
  <c r="F23" i="10"/>
  <c r="C22" i="10"/>
  <c r="B21" i="10"/>
  <c r="G30" i="9"/>
  <c r="D30" i="9"/>
  <c r="D30" i="10" s="1"/>
  <c r="C25" i="9"/>
  <c r="B25" i="9"/>
  <c r="C34" i="7"/>
  <c r="F32" i="7"/>
  <c r="E32" i="7"/>
  <c r="D32" i="7"/>
  <c r="B14" i="7"/>
  <c r="E12" i="7"/>
  <c r="D12" i="7"/>
  <c r="F12" i="7"/>
  <c r="I16" i="7"/>
  <c r="F16" i="7"/>
  <c r="E16" i="7"/>
  <c r="D16" i="7"/>
  <c r="F15" i="7"/>
  <c r="E15" i="7"/>
  <c r="D15" i="7"/>
  <c r="C15" i="7"/>
  <c r="B15" i="7"/>
  <c r="F14" i="7"/>
  <c r="E14" i="7"/>
  <c r="D14" i="7"/>
  <c r="C32" i="6"/>
  <c r="E30" i="6"/>
  <c r="D30" i="6"/>
  <c r="B18" i="6"/>
  <c r="E16" i="6"/>
  <c r="D16" i="6"/>
  <c r="F16" i="6"/>
  <c r="I20" i="6"/>
  <c r="F20" i="6"/>
  <c r="E20" i="6"/>
  <c r="D20" i="6"/>
  <c r="F19" i="6"/>
  <c r="E19" i="6"/>
  <c r="D19" i="6"/>
  <c r="C19" i="6"/>
  <c r="B19" i="6"/>
  <c r="F18" i="6"/>
  <c r="E18" i="6"/>
  <c r="D18" i="6"/>
  <c r="B19" i="5"/>
  <c r="I21" i="5"/>
  <c r="G21" i="5"/>
  <c r="F21" i="5"/>
  <c r="E21" i="5"/>
  <c r="D21" i="5"/>
  <c r="I20" i="5"/>
  <c r="G20" i="5"/>
  <c r="F20" i="5"/>
  <c r="E20" i="5"/>
  <c r="D20" i="5"/>
  <c r="C20" i="5"/>
  <c r="B20" i="5"/>
  <c r="I19" i="5"/>
  <c r="G19" i="5"/>
  <c r="F19" i="5"/>
  <c r="E19" i="5"/>
  <c r="D19" i="5"/>
  <c r="I23" i="4"/>
  <c r="F23" i="4"/>
  <c r="E23" i="4"/>
  <c r="D23" i="4"/>
  <c r="D15" i="4"/>
  <c r="B13" i="4"/>
  <c r="D11" i="10"/>
  <c r="I15" i="4"/>
  <c r="F15" i="4"/>
  <c r="E15" i="4"/>
  <c r="C14" i="4"/>
  <c r="B14" i="4"/>
  <c r="C43" i="3"/>
  <c r="F41" i="3"/>
  <c r="F25" i="10" s="1"/>
  <c r="D41" i="3"/>
  <c r="B21" i="3"/>
  <c r="G19" i="3"/>
  <c r="G10" i="10" s="1"/>
  <c r="G19" i="10" s="1"/>
  <c r="F19" i="3"/>
  <c r="D19" i="3"/>
  <c r="G23" i="3"/>
  <c r="F23" i="3"/>
  <c r="E23" i="3"/>
  <c r="D23" i="3"/>
  <c r="C22" i="3"/>
  <c r="B22" i="3"/>
  <c r="G30" i="10" l="1"/>
  <c r="G34" i="10" s="1"/>
  <c r="G36" i="10" s="1"/>
  <c r="I26" i="10"/>
  <c r="D61" i="5"/>
  <c r="D29" i="10"/>
  <c r="E29" i="10"/>
  <c r="D14" i="10"/>
  <c r="E14" i="10"/>
  <c r="F13" i="10"/>
  <c r="D13" i="10"/>
  <c r="E13" i="10"/>
  <c r="D28" i="10"/>
  <c r="E28" i="10"/>
  <c r="E61" i="5"/>
  <c r="E12" i="10"/>
  <c r="D26" i="10"/>
  <c r="E25" i="4"/>
  <c r="E26" i="10"/>
  <c r="F26" i="10"/>
  <c r="D25" i="10"/>
  <c r="D10" i="10"/>
  <c r="E10" i="10"/>
  <c r="F10" i="10"/>
  <c r="E25" i="10"/>
  <c r="E34" i="7"/>
  <c r="F25" i="4"/>
  <c r="I25" i="4"/>
  <c r="E32" i="9"/>
  <c r="G43" i="3"/>
  <c r="G32" i="9"/>
  <c r="I12" i="7"/>
  <c r="I14" i="10" s="1"/>
  <c r="D32" i="9"/>
  <c r="D16" i="10"/>
  <c r="D34" i="7"/>
  <c r="D43" i="3"/>
  <c r="E32" i="6"/>
  <c r="E43" i="3"/>
  <c r="F34" i="7"/>
  <c r="D32" i="6"/>
  <c r="F30" i="6"/>
  <c r="I30" i="6"/>
  <c r="D25" i="4"/>
  <c r="F43" i="3"/>
  <c r="I28" i="10" l="1"/>
  <c r="E34" i="10"/>
  <c r="F28" i="10"/>
  <c r="F34" i="10" s="1"/>
  <c r="E19" i="10"/>
  <c r="F32" i="9"/>
  <c r="I34" i="7"/>
  <c r="F32" i="6"/>
  <c r="C48" i="2"/>
  <c r="D24" i="10"/>
  <c r="D34" i="10" s="1"/>
  <c r="I15" i="2"/>
  <c r="F15" i="2"/>
  <c r="E15" i="2"/>
  <c r="C14" i="2"/>
  <c r="B14" i="2"/>
  <c r="B13" i="2"/>
  <c r="F19" i="10"/>
  <c r="D9" i="10"/>
  <c r="D19" i="10" s="1"/>
  <c r="E36" i="10" l="1"/>
  <c r="F36" i="10"/>
  <c r="D36" i="10"/>
  <c r="D48" i="2"/>
  <c r="E48" i="2"/>
  <c r="F48" i="2"/>
  <c r="I48" i="2"/>
  <c r="I16" i="6" l="1"/>
  <c r="H19" i="10" l="1"/>
  <c r="I13" i="10"/>
  <c r="I19" i="10" s="1"/>
  <c r="I32" i="6"/>
  <c r="I59" i="5" l="1"/>
  <c r="H34" i="10" l="1"/>
  <c r="H36" i="10" s="1"/>
  <c r="I27" i="10"/>
  <c r="I61" i="5"/>
  <c r="I40" i="13" l="1"/>
  <c r="I42" i="13" s="1"/>
  <c r="I31" i="10" l="1"/>
  <c r="I34" i="10" s="1"/>
  <c r="I36" i="10" s="1"/>
  <c r="L46" i="17"/>
  <c r="M46" i="17"/>
</calcChain>
</file>

<file path=xl/sharedStrings.xml><?xml version="1.0" encoding="utf-8"?>
<sst xmlns="http://schemas.openxmlformats.org/spreadsheetml/2006/main" count="637" uniqueCount="273">
  <si>
    <t>Election costs</t>
  </si>
  <si>
    <t>THETFORD TOWN COUNCIL</t>
  </si>
  <si>
    <t>INCOME</t>
  </si>
  <si>
    <t>Personnel</t>
  </si>
  <si>
    <t>2018-19</t>
  </si>
  <si>
    <t>2019-20</t>
  </si>
  <si>
    <t>2020-21</t>
  </si>
  <si>
    <t>2021-22</t>
  </si>
  <si>
    <t>2022-23</t>
  </si>
  <si>
    <t>N/C</t>
  </si>
  <si>
    <t>NAME</t>
  </si>
  <si>
    <t>ACTUAL</t>
  </si>
  <si>
    <t>BUDGET</t>
  </si>
  <si>
    <t>£</t>
  </si>
  <si>
    <t>Recharges (Labour)</t>
  </si>
  <si>
    <t xml:space="preserve">TOTAL </t>
  </si>
  <si>
    <t>EXPENDITURE</t>
  </si>
  <si>
    <t>Salaries</t>
  </si>
  <si>
    <t>Pension Strain Costs</t>
  </si>
  <si>
    <t>Training</t>
  </si>
  <si>
    <t>Recuitment</t>
  </si>
  <si>
    <t>Health &amp; Safety (Trg&amp;Con)</t>
  </si>
  <si>
    <t>Kings House Facilites</t>
  </si>
  <si>
    <t>Rates</t>
  </si>
  <si>
    <t>Welfare</t>
  </si>
  <si>
    <t>Electricity</t>
  </si>
  <si>
    <t>Gas</t>
  </si>
  <si>
    <t>Oil</t>
  </si>
  <si>
    <t>Waste Disposal Costs</t>
  </si>
  <si>
    <t>Admin Costs</t>
  </si>
  <si>
    <t>Travel Expenses</t>
  </si>
  <si>
    <t>Agents Fees</t>
  </si>
  <si>
    <t>Equipment Support &amp; Maint</t>
  </si>
  <si>
    <t>Cleaning Materials</t>
  </si>
  <si>
    <t>Audit fees</t>
  </si>
  <si>
    <t>Legal &amp; professional</t>
  </si>
  <si>
    <t>Insurances</t>
  </si>
  <si>
    <t>Bank Charges</t>
  </si>
  <si>
    <t>NET</t>
  </si>
  <si>
    <t>Bar Takings</t>
  </si>
  <si>
    <t>Grants Received</t>
  </si>
  <si>
    <t>Events Income</t>
  </si>
  <si>
    <t>Fees/Donations Receved</t>
  </si>
  <si>
    <t>Advertising</t>
  </si>
  <si>
    <t>Sponsorship</t>
  </si>
  <si>
    <t>Bar Purchase</t>
  </si>
  <si>
    <t>Catering Purchases</t>
  </si>
  <si>
    <t>Events expenses</t>
  </si>
  <si>
    <t>Newsletters and publications</t>
  </si>
  <si>
    <t>Printing and advertising</t>
  </si>
  <si>
    <t>Mayors Allowance</t>
  </si>
  <si>
    <t>Civic events</t>
  </si>
  <si>
    <t>Civic regalia</t>
  </si>
  <si>
    <t xml:space="preserve">Street furniture </t>
  </si>
  <si>
    <t>Christmas Lights</t>
  </si>
  <si>
    <t>Playparks</t>
  </si>
  <si>
    <t>Open Spaces</t>
  </si>
  <si>
    <t>Open Spaces Maintenance</t>
  </si>
  <si>
    <t>Small Grants</t>
  </si>
  <si>
    <t>Trees</t>
  </si>
  <si>
    <t>Property Maintenance</t>
  </si>
  <si>
    <t>Toilets expenditure</t>
  </si>
  <si>
    <t>Vehicle Leasing</t>
  </si>
  <si>
    <t>Works team tools</t>
  </si>
  <si>
    <t>CEMETERY</t>
  </si>
  <si>
    <t>Cem tool and equip</t>
  </si>
  <si>
    <t>Cemetery maintenance</t>
  </si>
  <si>
    <t>Ground water monitoring</t>
  </si>
  <si>
    <t>Grass cutting</t>
  </si>
  <si>
    <t>ALLOTMENTS</t>
  </si>
  <si>
    <t>Allotment Fees</t>
  </si>
  <si>
    <t>Precept</t>
  </si>
  <si>
    <t>Sundry Income</t>
  </si>
  <si>
    <t>Bank Interest received</t>
  </si>
  <si>
    <t>Investment income</t>
  </si>
  <si>
    <t>Sale of fixed Assets</t>
  </si>
  <si>
    <t>OTHER</t>
  </si>
  <si>
    <t>Property rent received</t>
  </si>
  <si>
    <t>Mayoral income</t>
  </si>
  <si>
    <t>Donations Christmas</t>
  </si>
  <si>
    <t>Hire Income Open Spaces</t>
  </si>
  <si>
    <t>Internments</t>
  </si>
  <si>
    <t>Exclusive Right of Burial</t>
  </si>
  <si>
    <t>Memorials</t>
  </si>
  <si>
    <t>Hire of Chapel</t>
  </si>
  <si>
    <t>Cemetery</t>
  </si>
  <si>
    <t>Allotments</t>
  </si>
  <si>
    <t>Other</t>
  </si>
  <si>
    <t>Grants received</t>
  </si>
  <si>
    <t>Grave digging</t>
  </si>
  <si>
    <t>Works Team Fuel</t>
  </si>
  <si>
    <t>Works Team &amp; Maint</t>
  </si>
  <si>
    <t>Bad debts written off</t>
  </si>
  <si>
    <t>Cemetery extension</t>
  </si>
  <si>
    <t>Hanging baskets</t>
  </si>
  <si>
    <t>Council tax grant</t>
  </si>
  <si>
    <t>All Departments</t>
  </si>
  <si>
    <t>Civic Income</t>
  </si>
  <si>
    <t>Priory</t>
  </si>
  <si>
    <t>Guildhall complex</t>
  </si>
  <si>
    <t>Cemetery building repairs</t>
  </si>
  <si>
    <t>Property repairs</t>
  </si>
  <si>
    <t>Office equipment</t>
  </si>
  <si>
    <t>King House office repairs</t>
  </si>
  <si>
    <t>Civic Regalia</t>
  </si>
  <si>
    <t>Int Civic Links</t>
  </si>
  <si>
    <t>Civic gifts</t>
  </si>
  <si>
    <t>Open space management</t>
  </si>
  <si>
    <t>Sale of shares</t>
  </si>
  <si>
    <t>Purchase of shares</t>
  </si>
  <si>
    <t>Rates precept</t>
  </si>
  <si>
    <t>RATES PRECEPT</t>
  </si>
  <si>
    <t>Shambles</t>
  </si>
  <si>
    <t>Market place</t>
  </si>
  <si>
    <t>St Peters</t>
  </si>
  <si>
    <t>Floral Displays</t>
  </si>
  <si>
    <t>TOTAL (EXCLUDING PRECEPT)</t>
  </si>
  <si>
    <t>Rent paid</t>
  </si>
  <si>
    <t>Share management fees</t>
  </si>
  <si>
    <t xml:space="preserve">Property maintenance </t>
  </si>
  <si>
    <t>Box office income</t>
  </si>
  <si>
    <t>COVID 19</t>
  </si>
  <si>
    <t>Honourary awards</t>
  </si>
  <si>
    <t>Other projects exp</t>
  </si>
  <si>
    <t>Borders and Barrels</t>
  </si>
  <si>
    <t>Fencing</t>
  </si>
  <si>
    <t>Pest Control</t>
  </si>
  <si>
    <t>Conservation</t>
  </si>
  <si>
    <t>Emergency maintenance</t>
  </si>
  <si>
    <t>Tree surveying</t>
  </si>
  <si>
    <t>Tree Cutting &amp; Maintenance</t>
  </si>
  <si>
    <t>Veg. Manage. Contract</t>
  </si>
  <si>
    <t>Higher Level Steward Works</t>
  </si>
  <si>
    <t>Chapel Maintenance</t>
  </si>
  <si>
    <t>Maintainance</t>
  </si>
  <si>
    <t>Security Assessment</t>
  </si>
  <si>
    <t>Boundary posts</t>
  </si>
  <si>
    <t>Annual pest control</t>
  </si>
  <si>
    <t>Isolation of water pipe taps</t>
  </si>
  <si>
    <t>Tap repairs</t>
  </si>
  <si>
    <t>Special plot clearing</t>
  </si>
  <si>
    <t>Contribution to Reserves</t>
  </si>
  <si>
    <t>New security locks</t>
  </si>
  <si>
    <t>Repairs to fencing</t>
  </si>
  <si>
    <t>Signage</t>
  </si>
  <si>
    <t>Publications &amp; comms</t>
  </si>
  <si>
    <t>CONTRIBUTIONS TO RESERVES</t>
  </si>
  <si>
    <t>NET (EXCLUDING PRECEPT)</t>
  </si>
  <si>
    <t>VAT Contingency</t>
  </si>
  <si>
    <t>General Asset Renewal</t>
  </si>
  <si>
    <t>Xmas Displays</t>
  </si>
  <si>
    <t>CONTRIBUTIONS EX GRANTS</t>
  </si>
  <si>
    <t>SUMMARY OPERATIONAL BUDGET</t>
  </si>
  <si>
    <t>TOTAL</t>
  </si>
  <si>
    <t>NET ALL DEPARTMENTS</t>
  </si>
  <si>
    <t>CONTROL TOTALS</t>
  </si>
  <si>
    <t>Town events</t>
  </si>
  <si>
    <t>Mayoral Events</t>
  </si>
  <si>
    <t>Unallocated cost saving</t>
  </si>
  <si>
    <t>Contribution to Maintenance</t>
  </si>
  <si>
    <t>Sale of fixed assets</t>
  </si>
  <si>
    <t>Transfer from Reserves</t>
  </si>
  <si>
    <t>Personnel Reserve Contrib</t>
  </si>
  <si>
    <t>Service Income</t>
  </si>
  <si>
    <t>Cemetery donations</t>
  </si>
  <si>
    <t>Spending of donations</t>
  </si>
  <si>
    <t>Specialist Markets</t>
  </si>
  <si>
    <t>Lease of Equipment</t>
  </si>
  <si>
    <t>Minor Furniture and Equipment</t>
  </si>
  <si>
    <t>Website costs</t>
  </si>
  <si>
    <t xml:space="preserve">Specialist Markets Expenses  </t>
  </si>
  <si>
    <t>Mkt Maintenance &amp; Repairs</t>
  </si>
  <si>
    <t>VENUES AND COMMUNICATIONS</t>
  </si>
  <si>
    <t xml:space="preserve">Judging fees </t>
  </si>
  <si>
    <t>Legal fees</t>
  </si>
  <si>
    <t>Forfeited Deposits</t>
  </si>
  <si>
    <t>V&amp;C</t>
  </si>
  <si>
    <t>Heritage &amp; Town</t>
  </si>
  <si>
    <t>Amenities</t>
  </si>
  <si>
    <t>Sundry Expenses</t>
  </si>
  <si>
    <t>Recovery of deficit</t>
  </si>
  <si>
    <t>Additional contributions</t>
  </si>
  <si>
    <t>Project grants</t>
  </si>
  <si>
    <t>Carnegie Complex Hire</t>
  </si>
  <si>
    <t>Guildhall Complex Catering</t>
  </si>
  <si>
    <t>HERITAGE &amp; TOWN EVENTS</t>
  </si>
  <si>
    <t>NET HERITAGE &amp; TOWN EVENTS</t>
  </si>
  <si>
    <t>AMENITIES</t>
  </si>
  <si>
    <t>Capital Project Grants</t>
  </si>
  <si>
    <t>Reserve Transfers &amp;  Grants</t>
  </si>
  <si>
    <t>Toilets</t>
  </si>
  <si>
    <t>SUMMARY REVISED OPERATIONAL BUDGET</t>
  </si>
  <si>
    <t>ORIGINAL BUDGET</t>
  </si>
  <si>
    <t>REVISED BUDGET</t>
  </si>
  <si>
    <t>Green Energy Savings</t>
  </si>
  <si>
    <t>Water and Sewerage</t>
  </si>
  <si>
    <t>Donations Thetford in Bloom</t>
  </si>
  <si>
    <t>Street furniture third parties</t>
  </si>
  <si>
    <t>Add. Contribution to Reserves</t>
  </si>
  <si>
    <t>Playparks ex Reseves</t>
  </si>
  <si>
    <t>Infrastructure rental</t>
  </si>
  <si>
    <t>St Peters Church</t>
  </si>
  <si>
    <t>King St Square</t>
  </si>
  <si>
    <t>Bus Station</t>
  </si>
  <si>
    <t>Market Fees</t>
  </si>
  <si>
    <t>Catering Consumables</t>
  </si>
  <si>
    <t>Building Maintenance</t>
  </si>
  <si>
    <t>Bar Consumables</t>
  </si>
  <si>
    <t>Entertainment Licencing</t>
  </si>
  <si>
    <t>Marketing and Communications</t>
  </si>
  <si>
    <t>Box Office Website &amp; Digital Media</t>
  </si>
  <si>
    <t>DRAFT BUDGET FOR THE FINANCIAL YEAR ENDING</t>
  </si>
  <si>
    <t>31 MARCH 2024</t>
  </si>
  <si>
    <t>FOR THE YEAR ENDING 31 MARCH 2024</t>
  </si>
  <si>
    <t>2023-24</t>
  </si>
  <si>
    <t>PROPOSED BUDGET</t>
  </si>
  <si>
    <t>Budget contigency</t>
  </si>
  <si>
    <t>Hanging baskets contract</t>
  </si>
  <si>
    <t>River /Fish pass maint</t>
  </si>
  <si>
    <t>Other Veg. Manage</t>
  </si>
  <si>
    <t>Graziers fee</t>
  </si>
  <si>
    <t>Play Park renewal</t>
  </si>
  <si>
    <t>Anglia in Bloom</t>
  </si>
  <si>
    <t>Precept value</t>
  </si>
  <si>
    <t>OPERATIONAL BUDGET</t>
  </si>
  <si>
    <t>Increase in precept</t>
  </si>
  <si>
    <t>Precept (Band D property)</t>
  </si>
  <si>
    <t>Increase in precept income</t>
  </si>
  <si>
    <t>Proportionate reduction</t>
  </si>
  <si>
    <t>TOTAL PROJECTED RESERVES</t>
  </si>
  <si>
    <t>31 March</t>
  </si>
  <si>
    <t xml:space="preserve">To </t>
  </si>
  <si>
    <t>From</t>
  </si>
  <si>
    <t>Reserve</t>
  </si>
  <si>
    <t xml:space="preserve"> Reserves</t>
  </si>
  <si>
    <t>Reserves</t>
  </si>
  <si>
    <t>Asset Renewal Reserves</t>
  </si>
  <si>
    <t>Allotment Renewal Reserve</t>
  </si>
  <si>
    <t>Toilet Renewal Reserve</t>
  </si>
  <si>
    <t>Property Repairs Reserve</t>
  </si>
  <si>
    <t>Kings House Renewal Reserve</t>
  </si>
  <si>
    <t>Office Equipment Renewal Reserve</t>
  </si>
  <si>
    <t>Playpark Renewal Reserve</t>
  </si>
  <si>
    <t>Future Expenditure Reserves</t>
  </si>
  <si>
    <t>Councillor Training Reserve</t>
  </si>
  <si>
    <t>Election Cost Reserve</t>
  </si>
  <si>
    <t>GTP Officer Reserve</t>
  </si>
  <si>
    <t>St Peter's Reserve</t>
  </si>
  <si>
    <t>Xmas Decoration</t>
  </si>
  <si>
    <t>Open Space Reserves</t>
  </si>
  <si>
    <t>Specific Purpose Reserves</t>
  </si>
  <si>
    <t>Cemetery Repairs Reserve</t>
  </si>
  <si>
    <t>Waterways Reserve</t>
  </si>
  <si>
    <t>Civic Reserve</t>
  </si>
  <si>
    <t>Restricted Use Reserves</t>
  </si>
  <si>
    <t>Allotment Land Reserve</t>
  </si>
  <si>
    <t>Nunnery Capital Reserve</t>
  </si>
  <si>
    <t>NCF Archant Environ Reserve</t>
  </si>
  <si>
    <t>Historic England</t>
  </si>
  <si>
    <t>Sweyn Close Reserve</t>
  </si>
  <si>
    <t>Kings Square Reserve</t>
  </si>
  <si>
    <t>Contingency Reserves</t>
  </si>
  <si>
    <t>Market Legal reserve</t>
  </si>
  <si>
    <t>VAT Contingency Reserve</t>
  </si>
  <si>
    <t>COVID 19 Loss of Inc Reserve</t>
  </si>
  <si>
    <t>General Reserve</t>
  </si>
  <si>
    <t xml:space="preserve"> 31 MARCH 2023 AND 31 MARCH 2024</t>
  </si>
  <si>
    <t>Guildhall Reserve</t>
  </si>
  <si>
    <t>BFER Reserve</t>
  </si>
  <si>
    <t>Personnel Reserve</t>
  </si>
  <si>
    <t>ALP Reserve</t>
  </si>
  <si>
    <t>Shambles Refurbishment Reserve</t>
  </si>
  <si>
    <t>RBL Floor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</si>
</sst>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indexed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9">
    <xf numFmtId="0" fontId="0" fillId="0" borderId="0" xfId="0"/>
    <xf numFmtId="0" fontId="5" fillId="0" borderId="5" xfId="0" applyFont="1" applyBorder="1"/>
    <xf numFmtId="0" fontId="6" fillId="0" borderId="0" xfId="0" applyFont="1"/>
    <xf numFmtId="0" fontId="2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5" fillId="0" borderId="14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3" fontId="6" fillId="0" borderId="0" xfId="0" applyNumberFormat="1" applyFont="1"/>
    <xf numFmtId="3" fontId="6" fillId="3" borderId="15" xfId="0" applyNumberFormat="1" applyFont="1" applyFill="1" applyBorder="1"/>
    <xf numFmtId="0" fontId="6" fillId="0" borderId="5" xfId="0" applyFont="1" applyBorder="1" applyAlignment="1">
      <alignment horizontal="center"/>
    </xf>
    <xf numFmtId="3" fontId="5" fillId="0" borderId="10" xfId="0" applyNumberFormat="1" applyFont="1" applyBorder="1" applyAlignment="1">
      <alignment horizontal="left"/>
    </xf>
    <xf numFmtId="3" fontId="5" fillId="0" borderId="11" xfId="0" applyNumberFormat="1" applyFont="1" applyBorder="1"/>
    <xf numFmtId="3" fontId="5" fillId="0" borderId="2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left"/>
    </xf>
    <xf numFmtId="3" fontId="5" fillId="3" borderId="13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5" xfId="0" applyNumberFormat="1" applyFont="1" applyBorder="1" applyAlignment="1">
      <alignment horizontal="right"/>
    </xf>
    <xf numFmtId="3" fontId="5" fillId="0" borderId="0" xfId="0" applyNumberFormat="1" applyFont="1"/>
    <xf numFmtId="3" fontId="0" fillId="3" borderId="15" xfId="0" applyNumberFormat="1" applyFill="1" applyBorder="1"/>
    <xf numFmtId="3" fontId="8" fillId="0" borderId="11" xfId="0" applyNumberFormat="1" applyFont="1" applyBorder="1"/>
    <xf numFmtId="0" fontId="2" fillId="0" borderId="10" xfId="0" applyFont="1" applyBorder="1"/>
    <xf numFmtId="0" fontId="2" fillId="0" borderId="11" xfId="0" applyFont="1" applyBorder="1"/>
    <xf numFmtId="164" fontId="0" fillId="0" borderId="0" xfId="0" applyNumberFormat="1"/>
    <xf numFmtId="0" fontId="5" fillId="0" borderId="2" xfId="0" applyFont="1" applyBorder="1"/>
    <xf numFmtId="0" fontId="6" fillId="0" borderId="3" xfId="0" applyFont="1" applyBorder="1"/>
    <xf numFmtId="0" fontId="5" fillId="0" borderId="13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3" fontId="9" fillId="4" borderId="15" xfId="0" applyNumberFormat="1" applyFont="1" applyFill="1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5" fillId="0" borderId="10" xfId="0" applyFont="1" applyBorder="1" applyAlignment="1">
      <alignment horizontal="left"/>
    </xf>
    <xf numFmtId="0" fontId="5" fillId="0" borderId="11" xfId="0" applyFont="1" applyBorder="1"/>
    <xf numFmtId="0" fontId="5" fillId="0" borderId="3" xfId="0" applyFont="1" applyBorder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3" fontId="0" fillId="3" borderId="14" xfId="0" applyNumberFormat="1" applyFill="1" applyBorder="1"/>
    <xf numFmtId="0" fontId="0" fillId="0" borderId="3" xfId="0" applyBorder="1"/>
    <xf numFmtId="0" fontId="9" fillId="0" borderId="0" xfId="0" applyFont="1"/>
    <xf numFmtId="0" fontId="10" fillId="0" borderId="10" xfId="0" applyFont="1" applyBorder="1"/>
    <xf numFmtId="0" fontId="10" fillId="0" borderId="11" xfId="0" applyFont="1" applyBorder="1"/>
    <xf numFmtId="0" fontId="9" fillId="0" borderId="5" xfId="0" applyFont="1" applyBorder="1" applyAlignment="1">
      <alignment horizontal="center"/>
    </xf>
    <xf numFmtId="165" fontId="0" fillId="4" borderId="15" xfId="1" applyNumberFormat="1" applyFont="1" applyFill="1" applyBorder="1"/>
    <xf numFmtId="165" fontId="0" fillId="4" borderId="14" xfId="1" applyNumberFormat="1" applyFont="1" applyFill="1" applyBorder="1"/>
    <xf numFmtId="165" fontId="2" fillId="4" borderId="1" xfId="1" applyNumberFormat="1" applyFont="1" applyFill="1" applyBorder="1"/>
    <xf numFmtId="165" fontId="2" fillId="3" borderId="1" xfId="1" applyNumberFormat="1" applyFont="1" applyFill="1" applyBorder="1"/>
    <xf numFmtId="49" fontId="0" fillId="0" borderId="0" xfId="0" applyNumberFormat="1"/>
    <xf numFmtId="165" fontId="0" fillId="3" borderId="0" xfId="2" applyNumberFormat="1" applyFont="1" applyFill="1"/>
    <xf numFmtId="165" fontId="5" fillId="3" borderId="1" xfId="1" applyNumberFormat="1" applyFont="1" applyFill="1" applyBorder="1"/>
    <xf numFmtId="165" fontId="6" fillId="3" borderId="15" xfId="1" applyNumberFormat="1" applyFont="1" applyFill="1" applyBorder="1"/>
    <xf numFmtId="165" fontId="6" fillId="3" borderId="15" xfId="1" applyNumberFormat="1" applyFont="1" applyFill="1" applyBorder="1" applyAlignment="1">
      <alignment horizontal="center"/>
    </xf>
    <xf numFmtId="165" fontId="6" fillId="3" borderId="14" xfId="1" applyNumberFormat="1" applyFont="1" applyFill="1" applyBorder="1"/>
    <xf numFmtId="165" fontId="0" fillId="3" borderId="15" xfId="1" applyNumberFormat="1" applyFont="1" applyFill="1" applyBorder="1"/>
    <xf numFmtId="0" fontId="5" fillId="0" borderId="5" xfId="0" applyFont="1" applyBorder="1" applyAlignment="1">
      <alignment horizontal="left"/>
    </xf>
    <xf numFmtId="165" fontId="0" fillId="3" borderId="14" xfId="1" applyNumberFormat="1" applyFont="1" applyFill="1" applyBorder="1"/>
    <xf numFmtId="165" fontId="0" fillId="0" borderId="0" xfId="0" applyNumberFormat="1"/>
    <xf numFmtId="165" fontId="2" fillId="3" borderId="15" xfId="1" applyNumberFormat="1" applyFont="1" applyFill="1" applyBorder="1"/>
    <xf numFmtId="165" fontId="0" fillId="3" borderId="15" xfId="2" applyNumberFormat="1" applyFont="1" applyFill="1" applyBorder="1"/>
    <xf numFmtId="165" fontId="0" fillId="3" borderId="14" xfId="2" applyNumberFormat="1" applyFont="1" applyFill="1" applyBorder="1"/>
    <xf numFmtId="3" fontId="0" fillId="3" borderId="5" xfId="0" applyNumberFormat="1" applyFill="1" applyBorder="1"/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165" fontId="6" fillId="6" borderId="15" xfId="1" applyNumberFormat="1" applyFont="1" applyFill="1" applyBorder="1" applyAlignment="1">
      <alignment horizontal="center"/>
    </xf>
    <xf numFmtId="165" fontId="5" fillId="6" borderId="1" xfId="1" applyNumberFormat="1" applyFont="1" applyFill="1" applyBorder="1"/>
    <xf numFmtId="3" fontId="5" fillId="6" borderId="6" xfId="0" applyNumberFormat="1" applyFont="1" applyFill="1" applyBorder="1" applyAlignment="1">
      <alignment horizontal="center"/>
    </xf>
    <xf numFmtId="3" fontId="0" fillId="6" borderId="15" xfId="0" applyNumberFormat="1" applyFill="1" applyBorder="1"/>
    <xf numFmtId="0" fontId="5" fillId="6" borderId="13" xfId="0" applyFont="1" applyFill="1" applyBorder="1" applyAlignment="1">
      <alignment horizontal="center"/>
    </xf>
    <xf numFmtId="165" fontId="0" fillId="6" borderId="15" xfId="1" applyNumberFormat="1" applyFont="1" applyFill="1" applyBorder="1"/>
    <xf numFmtId="3" fontId="9" fillId="6" borderId="15" xfId="0" applyNumberFormat="1" applyFont="1" applyFill="1" applyBorder="1"/>
    <xf numFmtId="0" fontId="5" fillId="3" borderId="4" xfId="0" applyFont="1" applyFill="1" applyBorder="1" applyAlignment="1">
      <alignment horizontal="center"/>
    </xf>
    <xf numFmtId="3" fontId="6" fillId="6" borderId="15" xfId="0" applyNumberFormat="1" applyFont="1" applyFill="1" applyBorder="1"/>
    <xf numFmtId="3" fontId="6" fillId="3" borderId="14" xfId="0" applyNumberFormat="1" applyFont="1" applyFill="1" applyBorder="1"/>
    <xf numFmtId="3" fontId="0" fillId="6" borderId="14" xfId="0" applyNumberFormat="1" applyFill="1" applyBorder="1"/>
    <xf numFmtId="165" fontId="6" fillId="6" borderId="15" xfId="1" applyNumberFormat="1" applyFont="1" applyFill="1" applyBorder="1"/>
    <xf numFmtId="165" fontId="6" fillId="6" borderId="14" xfId="1" applyNumberFormat="1" applyFont="1" applyFill="1" applyBorder="1"/>
    <xf numFmtId="165" fontId="2" fillId="6" borderId="15" xfId="1" applyNumberFormat="1" applyFont="1" applyFill="1" applyBorder="1"/>
    <xf numFmtId="3" fontId="5" fillId="3" borderId="14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3" fontId="6" fillId="3" borderId="15" xfId="0" applyNumberFormat="1" applyFont="1" applyFill="1" applyBorder="1" applyAlignment="1">
      <alignment horizontal="right"/>
    </xf>
    <xf numFmtId="0" fontId="11" fillId="0" borderId="2" xfId="0" applyFont="1" applyBorder="1"/>
    <xf numFmtId="165" fontId="11" fillId="3" borderId="13" xfId="1" applyNumberFormat="1" applyFont="1" applyFill="1" applyBorder="1" applyAlignment="1">
      <alignment horizontal="center"/>
    </xf>
    <xf numFmtId="0" fontId="11" fillId="0" borderId="7" xfId="0" applyFont="1" applyBorder="1"/>
    <xf numFmtId="165" fontId="11" fillId="3" borderId="14" xfId="1" applyNumberFormat="1" applyFont="1" applyFill="1" applyBorder="1" applyAlignment="1">
      <alignment horizontal="center"/>
    </xf>
    <xf numFmtId="0" fontId="11" fillId="0" borderId="5" xfId="0" applyFont="1" applyBorder="1"/>
    <xf numFmtId="165" fontId="11" fillId="3" borderId="15" xfId="1" applyNumberFormat="1" applyFont="1" applyFill="1" applyBorder="1" applyAlignment="1">
      <alignment horizontal="center"/>
    </xf>
    <xf numFmtId="165" fontId="6" fillId="3" borderId="14" xfId="1" applyNumberFormat="1" applyFont="1" applyFill="1" applyBorder="1" applyAlignment="1">
      <alignment horizontal="center"/>
    </xf>
    <xf numFmtId="43" fontId="0" fillId="6" borderId="15" xfId="1" applyFont="1" applyFill="1" applyBorder="1"/>
    <xf numFmtId="0" fontId="12" fillId="0" borderId="13" xfId="0" applyFont="1" applyBorder="1"/>
    <xf numFmtId="165" fontId="12" fillId="6" borderId="13" xfId="1" applyNumberFormat="1" applyFont="1" applyFill="1" applyBorder="1"/>
    <xf numFmtId="0" fontId="12" fillId="0" borderId="15" xfId="0" applyFont="1" applyBorder="1"/>
    <xf numFmtId="165" fontId="12" fillId="6" borderId="15" xfId="1" applyNumberFormat="1" applyFont="1" applyFill="1" applyBorder="1"/>
    <xf numFmtId="0" fontId="12" fillId="0" borderId="14" xfId="0" applyFont="1" applyBorder="1"/>
    <xf numFmtId="165" fontId="0" fillId="3" borderId="13" xfId="1" applyNumberFormat="1" applyFont="1" applyFill="1" applyBorder="1"/>
    <xf numFmtId="165" fontId="0" fillId="4" borderId="13" xfId="1" applyNumberFormat="1" applyFont="1" applyFill="1" applyBorder="1"/>
    <xf numFmtId="0" fontId="5" fillId="0" borderId="4" xfId="0" applyFont="1" applyBorder="1"/>
    <xf numFmtId="0" fontId="5" fillId="0" borderId="6" xfId="0" applyFont="1" applyBorder="1"/>
    <xf numFmtId="0" fontId="6" fillId="0" borderId="6" xfId="0" applyFont="1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165" fontId="0" fillId="6" borderId="13" xfId="1" applyNumberFormat="1" applyFont="1" applyFill="1" applyBorder="1"/>
    <xf numFmtId="165" fontId="0" fillId="6" borderId="14" xfId="1" applyNumberFormat="1" applyFont="1" applyFill="1" applyBorder="1"/>
    <xf numFmtId="3" fontId="8" fillId="0" borderId="3" xfId="0" applyNumberFormat="1" applyFont="1" applyBorder="1"/>
    <xf numFmtId="165" fontId="5" fillId="3" borderId="13" xfId="1" applyNumberFormat="1" applyFont="1" applyFill="1" applyBorder="1"/>
    <xf numFmtId="165" fontId="5" fillId="6" borderId="13" xfId="1" applyNumberFormat="1" applyFont="1" applyFill="1" applyBorder="1"/>
    <xf numFmtId="0" fontId="2" fillId="0" borderId="0" xfId="0" applyFont="1"/>
    <xf numFmtId="0" fontId="14" fillId="0" borderId="0" xfId="0" applyFont="1"/>
    <xf numFmtId="3" fontId="5" fillId="7" borderId="13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165" fontId="6" fillId="7" borderId="15" xfId="1" applyNumberFormat="1" applyFont="1" applyFill="1" applyBorder="1" applyAlignment="1">
      <alignment horizontal="center"/>
    </xf>
    <xf numFmtId="165" fontId="6" fillId="7" borderId="15" xfId="1" applyNumberFormat="1" applyFont="1" applyFill="1" applyBorder="1"/>
    <xf numFmtId="165" fontId="5" fillId="7" borderId="1" xfId="1" applyNumberFormat="1" applyFont="1" applyFill="1" applyBorder="1"/>
    <xf numFmtId="165" fontId="12" fillId="6" borderId="14" xfId="0" applyNumberFormat="1" applyFont="1" applyFill="1" applyBorder="1"/>
    <xf numFmtId="0" fontId="0" fillId="6" borderId="15" xfId="0" applyFill="1" applyBorder="1"/>
    <xf numFmtId="0" fontId="0" fillId="6" borderId="14" xfId="0" applyFill="1" applyBorder="1"/>
    <xf numFmtId="165" fontId="0" fillId="6" borderId="15" xfId="0" applyNumberFormat="1" applyFill="1" applyBorder="1"/>
    <xf numFmtId="0" fontId="5" fillId="3" borderId="0" xfId="0" applyFont="1" applyFill="1" applyAlignment="1">
      <alignment horizontal="center"/>
    </xf>
    <xf numFmtId="165" fontId="0" fillId="7" borderId="15" xfId="2" applyNumberFormat="1" applyFont="1" applyFill="1" applyBorder="1"/>
    <xf numFmtId="165" fontId="2" fillId="7" borderId="1" xfId="1" applyNumberFormat="1" applyFont="1" applyFill="1" applyBorder="1"/>
    <xf numFmtId="3" fontId="0" fillId="7" borderId="15" xfId="0" applyNumberFormat="1" applyFill="1" applyBorder="1"/>
    <xf numFmtId="0" fontId="5" fillId="7" borderId="15" xfId="0" applyFont="1" applyFill="1" applyBorder="1" applyAlignment="1">
      <alignment horizontal="center"/>
    </xf>
    <xf numFmtId="165" fontId="6" fillId="7" borderId="14" xfId="1" applyNumberFormat="1" applyFont="1" applyFill="1" applyBorder="1"/>
    <xf numFmtId="0" fontId="5" fillId="7" borderId="13" xfId="0" applyFont="1" applyFill="1" applyBorder="1" applyAlignment="1">
      <alignment horizontal="center"/>
    </xf>
    <xf numFmtId="3" fontId="6" fillId="7" borderId="15" xfId="0" applyNumberFormat="1" applyFont="1" applyFill="1" applyBorder="1"/>
    <xf numFmtId="43" fontId="0" fillId="0" borderId="0" xfId="0" applyNumberFormat="1"/>
    <xf numFmtId="0" fontId="2" fillId="7" borderId="13" xfId="0" applyFont="1" applyFill="1" applyBorder="1" applyAlignment="1">
      <alignment horizontal="center"/>
    </xf>
    <xf numFmtId="165" fontId="2" fillId="7" borderId="15" xfId="1" applyNumberFormat="1" applyFont="1" applyFill="1" applyBorder="1"/>
    <xf numFmtId="165" fontId="2" fillId="7" borderId="15" xfId="1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3" fontId="9" fillId="3" borderId="15" xfId="0" applyNumberFormat="1" applyFont="1" applyFill="1" applyBorder="1"/>
    <xf numFmtId="165" fontId="10" fillId="6" borderId="15" xfId="1" applyNumberFormat="1" applyFont="1" applyFill="1" applyBorder="1"/>
    <xf numFmtId="165" fontId="0" fillId="7" borderId="15" xfId="1" applyNumberFormat="1" applyFont="1" applyFill="1" applyBorder="1"/>
    <xf numFmtId="165" fontId="15" fillId="6" borderId="13" xfId="1" applyNumberFormat="1" applyFont="1" applyFill="1" applyBorder="1"/>
    <xf numFmtId="165" fontId="15" fillId="6" borderId="15" xfId="1" applyNumberFormat="1" applyFont="1" applyFill="1" applyBorder="1"/>
    <xf numFmtId="165" fontId="15" fillId="6" borderId="14" xfId="1" applyNumberFormat="1" applyFont="1" applyFill="1" applyBorder="1"/>
    <xf numFmtId="165" fontId="15" fillId="7" borderId="13" xfId="1" applyNumberFormat="1" applyFont="1" applyFill="1" applyBorder="1"/>
    <xf numFmtId="165" fontId="15" fillId="7" borderId="15" xfId="1" applyNumberFormat="1" applyFont="1" applyFill="1" applyBorder="1"/>
    <xf numFmtId="165" fontId="15" fillId="7" borderId="14" xfId="1" applyNumberFormat="1" applyFont="1" applyFill="1" applyBorder="1"/>
    <xf numFmtId="165" fontId="6" fillId="6" borderId="14" xfId="1" applyNumberFormat="1" applyFont="1" applyFill="1" applyBorder="1" applyAlignment="1">
      <alignment horizontal="center"/>
    </xf>
    <xf numFmtId="3" fontId="9" fillId="7" borderId="15" xfId="0" applyNumberFormat="1" applyFont="1" applyFill="1" applyBorder="1"/>
    <xf numFmtId="165" fontId="0" fillId="7" borderId="13" xfId="1" applyNumberFormat="1" applyFont="1" applyFill="1" applyBorder="1"/>
    <xf numFmtId="165" fontId="0" fillId="7" borderId="14" xfId="1" applyNumberFormat="1" applyFont="1" applyFill="1" applyBorder="1"/>
    <xf numFmtId="165" fontId="0" fillId="6" borderId="15" xfId="2" applyNumberFormat="1" applyFont="1" applyFill="1" applyBorder="1"/>
    <xf numFmtId="3" fontId="6" fillId="6" borderId="14" xfId="0" applyNumberFormat="1" applyFont="1" applyFill="1" applyBorder="1"/>
    <xf numFmtId="165" fontId="5" fillId="7" borderId="13" xfId="1" applyNumberFormat="1" applyFont="1" applyFill="1" applyBorder="1"/>
    <xf numFmtId="0" fontId="5" fillId="3" borderId="3" xfId="0" applyFont="1" applyFill="1" applyBorder="1" applyAlignment="1">
      <alignment horizontal="center"/>
    </xf>
    <xf numFmtId="3" fontId="6" fillId="3" borderId="0" xfId="0" applyNumberFormat="1" applyFont="1" applyFill="1"/>
    <xf numFmtId="0" fontId="11" fillId="0" borderId="2" xfId="0" applyFont="1" applyBorder="1" applyAlignment="1">
      <alignment horizontal="left" indent="2"/>
    </xf>
    <xf numFmtId="0" fontId="11" fillId="0" borderId="5" xfId="0" applyFont="1" applyBorder="1" applyAlignment="1">
      <alignment horizontal="left" indent="2"/>
    </xf>
    <xf numFmtId="0" fontId="11" fillId="0" borderId="7" xfId="0" applyFont="1" applyBorder="1" applyAlignment="1">
      <alignment horizontal="left" indent="2"/>
    </xf>
    <xf numFmtId="165" fontId="12" fillId="3" borderId="13" xfId="1" applyNumberFormat="1" applyFont="1" applyFill="1" applyBorder="1"/>
    <xf numFmtId="165" fontId="16" fillId="6" borderId="13" xfId="1" applyNumberFormat="1" applyFont="1" applyFill="1" applyBorder="1"/>
    <xf numFmtId="165" fontId="12" fillId="3" borderId="15" xfId="1" applyNumberFormat="1" applyFont="1" applyFill="1" applyBorder="1"/>
    <xf numFmtId="165" fontId="16" fillId="6" borderId="15" xfId="1" applyNumberFormat="1" applyFont="1" applyFill="1" applyBorder="1"/>
    <xf numFmtId="165" fontId="12" fillId="3" borderId="14" xfId="1" applyNumberFormat="1" applyFont="1" applyFill="1" applyBorder="1"/>
    <xf numFmtId="165" fontId="16" fillId="6" borderId="14" xfId="1" applyNumberFormat="1" applyFont="1" applyFill="1" applyBorder="1"/>
    <xf numFmtId="3" fontId="5" fillId="3" borderId="15" xfId="0" applyNumberFormat="1" applyFont="1" applyFill="1" applyBorder="1" applyAlignment="1">
      <alignment horizontal="center"/>
    </xf>
    <xf numFmtId="3" fontId="5" fillId="7" borderId="15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5" fontId="17" fillId="3" borderId="14" xfId="1" applyNumberFormat="1" applyFont="1" applyFill="1" applyBorder="1"/>
    <xf numFmtId="165" fontId="17" fillId="7" borderId="14" xfId="1" applyNumberFormat="1" applyFont="1" applyFill="1" applyBorder="1"/>
    <xf numFmtId="165" fontId="17" fillId="6" borderId="14" xfId="1" applyNumberFormat="1" applyFont="1" applyFill="1" applyBorder="1"/>
    <xf numFmtId="0" fontId="12" fillId="0" borderId="3" xfId="0" applyFont="1" applyBorder="1"/>
    <xf numFmtId="164" fontId="12" fillId="0" borderId="3" xfId="0" applyNumberFormat="1" applyFont="1" applyBorder="1"/>
    <xf numFmtId="165" fontId="17" fillId="3" borderId="1" xfId="1" applyNumberFormat="1" applyFont="1" applyFill="1" applyBorder="1"/>
    <xf numFmtId="165" fontId="17" fillId="7" borderId="1" xfId="1" applyNumberFormat="1" applyFont="1" applyFill="1" applyBorder="1"/>
    <xf numFmtId="165" fontId="17" fillId="6" borderId="1" xfId="1" applyNumberFormat="1" applyFont="1" applyFill="1" applyBorder="1"/>
    <xf numFmtId="165" fontId="16" fillId="0" borderId="0" xfId="1" applyNumberFormat="1" applyFont="1" applyBorder="1"/>
    <xf numFmtId="0" fontId="2" fillId="6" borderId="14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3" fontId="6" fillId="7" borderId="14" xfId="0" applyNumberFormat="1" applyFont="1" applyFill="1" applyBorder="1"/>
    <xf numFmtId="3" fontId="5" fillId="7" borderId="6" xfId="0" applyNumberFormat="1" applyFont="1" applyFill="1" applyBorder="1" applyAlignment="1">
      <alignment horizontal="center"/>
    </xf>
    <xf numFmtId="165" fontId="2" fillId="7" borderId="13" xfId="1" applyNumberFormat="1" applyFont="1" applyFill="1" applyBorder="1"/>
    <xf numFmtId="165" fontId="2" fillId="7" borderId="14" xfId="1" applyNumberFormat="1" applyFont="1" applyFill="1" applyBorder="1"/>
    <xf numFmtId="3" fontId="5" fillId="7" borderId="14" xfId="0" applyNumberFormat="1" applyFont="1" applyFill="1" applyBorder="1" applyAlignment="1">
      <alignment horizontal="center" wrapText="1"/>
    </xf>
    <xf numFmtId="165" fontId="11" fillId="7" borderId="13" xfId="1" applyNumberFormat="1" applyFont="1" applyFill="1" applyBorder="1" applyAlignment="1">
      <alignment horizontal="center"/>
    </xf>
    <xf numFmtId="165" fontId="11" fillId="7" borderId="14" xfId="1" applyNumberFormat="1" applyFont="1" applyFill="1" applyBorder="1" applyAlignment="1">
      <alignment horizontal="center"/>
    </xf>
    <xf numFmtId="165" fontId="11" fillId="7" borderId="15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165" fontId="6" fillId="3" borderId="13" xfId="1" applyNumberFormat="1" applyFont="1" applyFill="1" applyBorder="1" applyAlignment="1">
      <alignment horizontal="center"/>
    </xf>
    <xf numFmtId="165" fontId="0" fillId="6" borderId="13" xfId="0" applyNumberFormat="1" applyFill="1" applyBorder="1"/>
    <xf numFmtId="165" fontId="0" fillId="6" borderId="14" xfId="0" applyNumberFormat="1" applyFill="1" applyBorder="1"/>
    <xf numFmtId="165" fontId="6" fillId="7" borderId="15" xfId="1" applyNumberFormat="1" applyFont="1" applyFill="1" applyBorder="1" applyAlignment="1">
      <alignment horizontal="right"/>
    </xf>
    <xf numFmtId="0" fontId="16" fillId="0" borderId="0" xfId="0" applyFont="1"/>
    <xf numFmtId="165" fontId="16" fillId="0" borderId="0" xfId="0" applyNumberFormat="1" applyFont="1"/>
    <xf numFmtId="43" fontId="6" fillId="7" borderId="14" xfId="1" applyFont="1" applyFill="1" applyBorder="1"/>
    <xf numFmtId="43" fontId="16" fillId="0" borderId="0" xfId="1" applyFont="1" applyBorder="1"/>
    <xf numFmtId="43" fontId="12" fillId="0" borderId="0" xfId="0" applyNumberFormat="1" applyFont="1"/>
    <xf numFmtId="43" fontId="16" fillId="0" borderId="0" xfId="0" applyNumberFormat="1" applyFont="1"/>
    <xf numFmtId="0" fontId="6" fillId="0" borderId="2" xfId="0" applyFont="1" applyBorder="1"/>
    <xf numFmtId="16" fontId="5" fillId="8" borderId="13" xfId="0" quotePrefix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/>
    <xf numFmtId="0" fontId="5" fillId="8" borderId="14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3" fontId="5" fillId="8" borderId="18" xfId="0" applyNumberFormat="1" applyFont="1" applyFill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165" fontId="5" fillId="0" borderId="17" xfId="1" applyNumberFormat="1" applyFont="1" applyBorder="1" applyAlignment="1">
      <alignment horizontal="right"/>
    </xf>
    <xf numFmtId="165" fontId="5" fillId="8" borderId="18" xfId="1" applyNumberFormat="1" applyFont="1" applyFill="1" applyBorder="1" applyAlignment="1">
      <alignment horizontal="right"/>
    </xf>
    <xf numFmtId="0" fontId="6" fillId="0" borderId="5" xfId="0" applyFont="1" applyBorder="1"/>
    <xf numFmtId="3" fontId="6" fillId="8" borderId="15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65" fontId="6" fillId="8" borderId="15" xfId="1" applyNumberFormat="1" applyFont="1" applyFill="1" applyBorder="1" applyAlignment="1">
      <alignment horizontal="right"/>
    </xf>
    <xf numFmtId="43" fontId="6" fillId="8" borderId="15" xfId="1" applyFont="1" applyFill="1" applyBorder="1" applyAlignment="1">
      <alignment horizontal="right"/>
    </xf>
    <xf numFmtId="3" fontId="6" fillId="8" borderId="14" xfId="0" applyNumberFormat="1" applyFont="1" applyFill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165" fontId="6" fillId="8" borderId="14" xfId="1" applyNumberFormat="1" applyFont="1" applyFill="1" applyBorder="1" applyAlignment="1">
      <alignment horizontal="right"/>
    </xf>
    <xf numFmtId="3" fontId="5" fillId="8" borderId="15" xfId="0" applyNumberFormat="1" applyFont="1" applyFill="1" applyBorder="1" applyAlignment="1">
      <alignment horizontal="right"/>
    </xf>
    <xf numFmtId="165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5" fontId="5" fillId="8" borderId="15" xfId="1" applyNumberFormat="1" applyFont="1" applyFill="1" applyBorder="1" applyAlignment="1">
      <alignment horizontal="right"/>
    </xf>
    <xf numFmtId="43" fontId="5" fillId="0" borderId="0" xfId="1" applyFont="1" applyAlignment="1">
      <alignment horizontal="right"/>
    </xf>
    <xf numFmtId="3" fontId="6" fillId="8" borderId="15" xfId="0" applyNumberFormat="1" applyFont="1" applyFill="1" applyBorder="1"/>
    <xf numFmtId="165" fontId="6" fillId="8" borderId="15" xfId="1" applyNumberFormat="1" applyFont="1" applyFill="1" applyBorder="1"/>
    <xf numFmtId="3" fontId="6" fillId="8" borderId="14" xfId="0" applyNumberFormat="1" applyFont="1" applyFill="1" applyBorder="1"/>
    <xf numFmtId="3" fontId="6" fillId="0" borderId="8" xfId="0" applyNumberFormat="1" applyFont="1" applyBorder="1"/>
    <xf numFmtId="165" fontId="6" fillId="8" borderId="14" xfId="1" applyNumberFormat="1" applyFont="1" applyFill="1" applyBorder="1"/>
    <xf numFmtId="3" fontId="5" fillId="8" borderId="13" xfId="0" applyNumberFormat="1" applyFont="1" applyFill="1" applyBorder="1"/>
    <xf numFmtId="165" fontId="5" fillId="8" borderId="15" xfId="1" applyNumberFormat="1" applyFont="1" applyFill="1" applyBorder="1"/>
    <xf numFmtId="3" fontId="5" fillId="8" borderId="15" xfId="0" applyNumberFormat="1" applyFont="1" applyFill="1" applyBorder="1"/>
    <xf numFmtId="0" fontId="5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3" fontId="5" fillId="8" borderId="1" xfId="0" applyNumberFormat="1" applyFont="1" applyFill="1" applyBorder="1"/>
    <xf numFmtId="3" fontId="5" fillId="0" borderId="11" xfId="0" applyNumberFormat="1" applyFont="1" applyBorder="1" applyAlignment="1">
      <alignment horizontal="right"/>
    </xf>
    <xf numFmtId="165" fontId="5" fillId="8" borderId="1" xfId="1" applyNumberFormat="1" applyFont="1" applyFill="1" applyBorder="1"/>
    <xf numFmtId="3" fontId="0" fillId="0" borderId="0" xfId="0" applyNumberFormat="1"/>
    <xf numFmtId="165" fontId="0" fillId="0" borderId="0" xfId="1" applyNumberFormat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5" fontId="14" fillId="0" borderId="0" xfId="0" quotePrefix="1" applyNumberFormat="1" applyFont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3" fontId="4" fillId="5" borderId="10" xfId="0" applyNumberFormat="1" applyFont="1" applyFill="1" applyBorder="1" applyAlignment="1">
      <alignment horizontal="center"/>
    </xf>
    <xf numFmtId="3" fontId="7" fillId="5" borderId="11" xfId="0" applyNumberFormat="1" applyFont="1" applyFill="1" applyBorder="1" applyAlignment="1">
      <alignment horizontal="center"/>
    </xf>
    <xf numFmtId="3" fontId="7" fillId="5" borderId="1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3" fontId="4" fillId="5" borderId="11" xfId="0" applyNumberFormat="1" applyFont="1" applyFill="1" applyBorder="1" applyAlignment="1">
      <alignment horizontal="center"/>
    </xf>
    <xf numFmtId="3" fontId="4" fillId="5" borderId="12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5" fontId="3" fillId="0" borderId="5" xfId="0" quotePrefix="1" applyNumberFormat="1" applyFont="1" applyBorder="1" applyAlignment="1">
      <alignment horizontal="center"/>
    </xf>
    <xf numFmtId="15" fontId="3" fillId="0" borderId="0" xfId="0" quotePrefix="1" applyNumberFormat="1" applyFont="1" applyAlignment="1">
      <alignment horizontal="center"/>
    </xf>
    <xf numFmtId="15" fontId="3" fillId="0" borderId="6" xfId="0" quotePrefix="1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Comma" xfId="1" builtinId="3"/>
    <cellStyle name="Comma 2" xfId="2" xr:uid="{16E4A81A-4A6E-4240-91A6-A6BD3F6EF35D}"/>
    <cellStyle name="Normal" xfId="0" builtinId="0"/>
  </cellStyles>
  <dxfs count="0"/>
  <tableStyles count="0" defaultTableStyle="TableStyleMedium2" defaultPivotStyle="PivotStyleLight16"/>
  <colors>
    <mruColors>
      <color rgb="FFCCFF33"/>
      <color rgb="FFEFE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5</xdr:row>
      <xdr:rowOff>28575</xdr:rowOff>
    </xdr:from>
    <xdr:to>
      <xdr:col>6</xdr:col>
      <xdr:colOff>571500</xdr:colOff>
      <xdr:row>14</xdr:row>
      <xdr:rowOff>76581</xdr:rowOff>
    </xdr:to>
    <xdr:pic>
      <xdr:nvPicPr>
        <xdr:cNvPr id="2" name="Picture 1" descr="TTC crest JPEG Original High Quality.jpg">
          <a:extLst>
            <a:ext uri="{FF2B5EF4-FFF2-40B4-BE49-F238E27FC236}">
              <a16:creationId xmlns:a16="http://schemas.microsoft.com/office/drawing/2014/main" id="{6414BFB1-A8FB-4A97-A7CA-06F9AA9E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66950" y="981075"/>
          <a:ext cx="1962150" cy="1762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8905-8FE9-4BB7-956A-20DDEC118DE4}">
  <sheetPr>
    <pageSetUpPr fitToPage="1"/>
  </sheetPr>
  <dimension ref="A19:K23"/>
  <sheetViews>
    <sheetView topLeftCell="A44" workbookViewId="0">
      <selection activeCell="A23" sqref="A23:K23"/>
    </sheetView>
  </sheetViews>
  <sheetFormatPr defaultRowHeight="14.4" x14ac:dyDescent="0.3"/>
  <sheetData>
    <row r="19" spans="1:11" ht="23.4" x14ac:dyDescent="0.45">
      <c r="A19" s="241" t="s">
        <v>1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</row>
    <row r="21" spans="1:11" ht="21" x14ac:dyDescent="0.4">
      <c r="A21" s="242" t="s">
        <v>211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pans="1:11" ht="21" x14ac:dyDescent="0.4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</row>
    <row r="23" spans="1:11" ht="21" x14ac:dyDescent="0.4">
      <c r="A23" s="243" t="s">
        <v>212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</row>
  </sheetData>
  <mergeCells count="3">
    <mergeCell ref="A19:K19"/>
    <mergeCell ref="A21:K21"/>
    <mergeCell ref="A23:K23"/>
  </mergeCell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19C7-A4F4-4B15-BAD1-26D7C59C537E}">
  <sheetPr>
    <pageSetUpPr fitToPage="1"/>
  </sheetPr>
  <dimension ref="B2:I42"/>
  <sheetViews>
    <sheetView topLeftCell="A11" workbookViewId="0">
      <selection activeCell="I15" sqref="I15:I33"/>
    </sheetView>
  </sheetViews>
  <sheetFormatPr defaultRowHeight="14.4" x14ac:dyDescent="0.3"/>
  <cols>
    <col min="1" max="1" width="2.44140625" customWidth="1"/>
    <col min="2" max="2" width="7.5546875" customWidth="1"/>
    <col min="3" max="3" width="25.5546875" customWidth="1"/>
    <col min="4" max="9" width="10.6640625" customWidth="1"/>
    <col min="10" max="10" width="3" customWidth="1"/>
  </cols>
  <sheetData>
    <row r="2" spans="2:9" ht="18" x14ac:dyDescent="0.35">
      <c r="B2" s="249" t="s">
        <v>1</v>
      </c>
      <c r="C2" s="250"/>
      <c r="D2" s="250"/>
      <c r="E2" s="250"/>
      <c r="F2" s="250"/>
      <c r="G2" s="250"/>
      <c r="H2" s="250"/>
      <c r="I2" s="251"/>
    </row>
    <row r="3" spans="2:9" ht="18" x14ac:dyDescent="0.35">
      <c r="B3" s="252" t="s">
        <v>224</v>
      </c>
      <c r="C3" s="253"/>
      <c r="D3" s="253"/>
      <c r="E3" s="253"/>
      <c r="F3" s="253"/>
      <c r="G3" s="253"/>
      <c r="H3" s="253"/>
      <c r="I3" s="254"/>
    </row>
    <row r="4" spans="2:9" ht="18" x14ac:dyDescent="0.35">
      <c r="B4" s="255" t="s">
        <v>213</v>
      </c>
      <c r="C4" s="256"/>
      <c r="D4" s="256"/>
      <c r="E4" s="256"/>
      <c r="F4" s="256"/>
      <c r="G4" s="256"/>
      <c r="H4" s="256"/>
      <c r="I4" s="257"/>
    </row>
    <row r="5" spans="2:9" ht="15.6" x14ac:dyDescent="0.3">
      <c r="B5" s="258" t="s">
        <v>2</v>
      </c>
      <c r="C5" s="259"/>
      <c r="D5" s="259"/>
      <c r="E5" s="259"/>
      <c r="F5" s="259"/>
      <c r="G5" s="259"/>
      <c r="H5" s="259"/>
      <c r="I5" s="260"/>
    </row>
    <row r="6" spans="2:9" x14ac:dyDescent="0.3">
      <c r="B6" s="270"/>
      <c r="C6" s="271"/>
      <c r="D6" s="3" t="s">
        <v>4</v>
      </c>
      <c r="E6" s="16" t="s">
        <v>5</v>
      </c>
      <c r="F6" s="16" t="s">
        <v>6</v>
      </c>
      <c r="G6" s="16" t="s">
        <v>7</v>
      </c>
      <c r="H6" s="68" t="s">
        <v>8</v>
      </c>
      <c r="I6" s="134" t="s">
        <v>214</v>
      </c>
    </row>
    <row r="7" spans="2:9" ht="28.8" x14ac:dyDescent="0.3">
      <c r="B7" s="4" t="s">
        <v>9</v>
      </c>
      <c r="C7" s="30" t="s">
        <v>10</v>
      </c>
      <c r="D7" s="6" t="s">
        <v>11</v>
      </c>
      <c r="E7" s="85" t="s">
        <v>11</v>
      </c>
      <c r="F7" s="85" t="s">
        <v>11</v>
      </c>
      <c r="G7" s="85" t="s">
        <v>11</v>
      </c>
      <c r="H7" s="69" t="s">
        <v>12</v>
      </c>
      <c r="I7" s="178" t="s">
        <v>215</v>
      </c>
    </row>
    <row r="8" spans="2:9" x14ac:dyDescent="0.3">
      <c r="B8" s="32"/>
      <c r="C8" s="5"/>
      <c r="D8" s="28" t="s">
        <v>13</v>
      </c>
      <c r="E8" s="29" t="s">
        <v>13</v>
      </c>
      <c r="F8" s="29" t="s">
        <v>13</v>
      </c>
      <c r="G8" s="29" t="s">
        <v>13</v>
      </c>
      <c r="H8" s="75" t="s">
        <v>13</v>
      </c>
      <c r="I8" s="131" t="s">
        <v>13</v>
      </c>
    </row>
    <row r="9" spans="2:9" x14ac:dyDescent="0.3">
      <c r="B9" s="35"/>
      <c r="C9" s="36"/>
      <c r="D9" s="34"/>
      <c r="E9" s="21"/>
      <c r="F9" s="21"/>
      <c r="G9" s="21"/>
      <c r="H9" s="77"/>
      <c r="I9" s="128"/>
    </row>
    <row r="10" spans="2:9" x14ac:dyDescent="0.3">
      <c r="B10" s="37" t="s">
        <v>153</v>
      </c>
      <c r="C10" s="38"/>
      <c r="D10" s="52">
        <f t="shared" ref="D10:F10" si="0">SUM(D9:D9)</f>
        <v>0</v>
      </c>
      <c r="E10" s="56">
        <f t="shared" si="0"/>
        <v>0</v>
      </c>
      <c r="F10" s="56">
        <f t="shared" si="0"/>
        <v>0</v>
      </c>
      <c r="G10" s="56"/>
      <c r="H10" s="72">
        <f t="shared" ref="H10" si="1">SUM(H9:H9)</f>
        <v>0</v>
      </c>
      <c r="I10" s="120"/>
    </row>
    <row r="11" spans="2:9" ht="15.6" x14ac:dyDescent="0.3">
      <c r="B11" s="267" t="s">
        <v>16</v>
      </c>
      <c r="C11" s="268"/>
      <c r="D11" s="268"/>
      <c r="E11" s="268"/>
      <c r="F11" s="268"/>
      <c r="G11" s="268"/>
      <c r="H11" s="268"/>
      <c r="I11" s="269"/>
    </row>
    <row r="12" spans="2:9" x14ac:dyDescent="0.3">
      <c r="B12" s="272" t="s">
        <v>146</v>
      </c>
      <c r="C12" s="273"/>
      <c r="D12" s="3" t="s">
        <v>4</v>
      </c>
      <c r="E12" s="16" t="s">
        <v>5</v>
      </c>
      <c r="F12" s="16" t="s">
        <v>6</v>
      </c>
      <c r="G12" s="16" t="s">
        <v>7</v>
      </c>
      <c r="H12" s="68" t="s">
        <v>8</v>
      </c>
      <c r="I12" s="134" t="s">
        <v>214</v>
      </c>
    </row>
    <row r="13" spans="2:9" ht="28.8" x14ac:dyDescent="0.3">
      <c r="B13" s="1" t="str">
        <f>+B7</f>
        <v>N/C</v>
      </c>
      <c r="C13" s="104" t="str">
        <f t="shared" ref="C13" si="2">+C7</f>
        <v>NAME</v>
      </c>
      <c r="D13" s="6" t="s">
        <v>11</v>
      </c>
      <c r="E13" s="85" t="s">
        <v>11</v>
      </c>
      <c r="F13" s="85" t="s">
        <v>11</v>
      </c>
      <c r="G13" s="85" t="s">
        <v>11</v>
      </c>
      <c r="H13" s="69" t="s">
        <v>12</v>
      </c>
      <c r="I13" s="178" t="s">
        <v>215</v>
      </c>
    </row>
    <row r="14" spans="2:9" x14ac:dyDescent="0.3">
      <c r="B14" s="11"/>
      <c r="C14" s="2" t="s">
        <v>99</v>
      </c>
      <c r="D14" s="50">
        <v>27000</v>
      </c>
      <c r="E14" s="60">
        <v>25000</v>
      </c>
      <c r="F14" s="60">
        <v>25000</v>
      </c>
      <c r="G14" s="60">
        <v>26000</v>
      </c>
      <c r="H14" s="76"/>
      <c r="I14" s="140"/>
    </row>
    <row r="15" spans="2:9" x14ac:dyDescent="0.3">
      <c r="B15" s="11"/>
      <c r="C15" s="2" t="s">
        <v>101</v>
      </c>
      <c r="D15" s="50">
        <v>22000</v>
      </c>
      <c r="E15" s="60">
        <v>22000</v>
      </c>
      <c r="F15" s="60">
        <v>12000</v>
      </c>
      <c r="G15" s="60">
        <v>59933</v>
      </c>
      <c r="H15" s="76">
        <v>63000</v>
      </c>
      <c r="I15" s="140">
        <v>42659.132075471702</v>
      </c>
    </row>
    <row r="16" spans="2:9" x14ac:dyDescent="0.3">
      <c r="B16" s="11"/>
      <c r="C16" s="2" t="s">
        <v>100</v>
      </c>
      <c r="D16" s="50">
        <v>10000</v>
      </c>
      <c r="E16" s="60">
        <v>10000</v>
      </c>
      <c r="F16" s="60">
        <v>10000</v>
      </c>
      <c r="G16" s="60">
        <v>5000</v>
      </c>
      <c r="H16" s="76">
        <v>8000</v>
      </c>
      <c r="I16" s="140">
        <v>0</v>
      </c>
    </row>
    <row r="17" spans="2:9" x14ac:dyDescent="0.3">
      <c r="B17" s="11"/>
      <c r="C17" s="2" t="s">
        <v>149</v>
      </c>
      <c r="D17" s="50"/>
      <c r="E17" s="60"/>
      <c r="F17" s="60"/>
      <c r="G17" s="60"/>
      <c r="H17" s="76"/>
      <c r="I17" s="140"/>
    </row>
    <row r="18" spans="2:9" x14ac:dyDescent="0.3">
      <c r="B18" s="11"/>
      <c r="C18" s="2" t="s">
        <v>113</v>
      </c>
      <c r="D18" s="50"/>
      <c r="E18" s="60">
        <v>5000</v>
      </c>
      <c r="F18" s="60">
        <v>5000</v>
      </c>
      <c r="G18" s="60"/>
      <c r="H18" s="76"/>
      <c r="I18" s="140"/>
    </row>
    <row r="19" spans="2:9" x14ac:dyDescent="0.3">
      <c r="B19" s="11"/>
      <c r="C19" s="2" t="s">
        <v>102</v>
      </c>
      <c r="D19" s="50">
        <v>7000</v>
      </c>
      <c r="E19" s="60">
        <v>7000</v>
      </c>
      <c r="F19" s="60">
        <v>7000</v>
      </c>
      <c r="G19" s="60"/>
      <c r="H19" s="76">
        <v>15000</v>
      </c>
      <c r="I19" s="140">
        <v>8203.6792452830196</v>
      </c>
    </row>
    <row r="20" spans="2:9" x14ac:dyDescent="0.3">
      <c r="B20" s="11"/>
      <c r="C20" s="2" t="s">
        <v>114</v>
      </c>
      <c r="D20" s="50"/>
      <c r="E20" s="60"/>
      <c r="F20" s="60">
        <v>10000</v>
      </c>
      <c r="G20" s="60"/>
      <c r="H20" s="76">
        <v>8000</v>
      </c>
      <c r="I20" s="140">
        <v>9844.4150943396235</v>
      </c>
    </row>
    <row r="21" spans="2:9" x14ac:dyDescent="0.3">
      <c r="B21" s="11"/>
      <c r="C21" s="2" t="s">
        <v>104</v>
      </c>
      <c r="D21" s="50">
        <v>250</v>
      </c>
      <c r="E21" s="60">
        <v>250</v>
      </c>
      <c r="F21" s="60">
        <v>250</v>
      </c>
      <c r="G21" s="60"/>
      <c r="H21" s="76"/>
      <c r="I21" s="140"/>
    </row>
    <row r="22" spans="2:9" x14ac:dyDescent="0.3">
      <c r="B22" s="11"/>
      <c r="C22" s="2" t="s">
        <v>105</v>
      </c>
      <c r="D22" s="50">
        <v>250</v>
      </c>
      <c r="E22" s="60">
        <v>250</v>
      </c>
      <c r="F22" s="60">
        <v>250</v>
      </c>
      <c r="G22" s="60"/>
      <c r="H22" s="76"/>
      <c r="I22" s="140"/>
    </row>
    <row r="23" spans="2:9" x14ac:dyDescent="0.3">
      <c r="B23" s="11"/>
      <c r="C23" s="2" t="s">
        <v>106</v>
      </c>
      <c r="D23" s="50">
        <v>250</v>
      </c>
      <c r="E23" s="60">
        <v>250</v>
      </c>
      <c r="F23" s="60">
        <v>250</v>
      </c>
      <c r="G23" s="60"/>
      <c r="H23" s="76"/>
      <c r="I23" s="140"/>
    </row>
    <row r="24" spans="2:9" x14ac:dyDescent="0.3">
      <c r="B24" s="11"/>
      <c r="C24" s="2" t="s">
        <v>0</v>
      </c>
      <c r="D24" s="50">
        <v>5000</v>
      </c>
      <c r="E24" s="60">
        <v>5000</v>
      </c>
      <c r="F24" s="60">
        <v>5000</v>
      </c>
      <c r="G24" s="60"/>
      <c r="H24" s="76"/>
      <c r="I24" s="140">
        <v>15250</v>
      </c>
    </row>
    <row r="25" spans="2:9" x14ac:dyDescent="0.3">
      <c r="B25" s="11"/>
      <c r="C25" s="2" t="s">
        <v>150</v>
      </c>
      <c r="D25" s="50"/>
      <c r="E25" s="60">
        <v>2217</v>
      </c>
      <c r="F25" s="60"/>
      <c r="G25" s="60"/>
      <c r="H25" s="76"/>
      <c r="I25" s="140"/>
    </row>
    <row r="26" spans="2:9" x14ac:dyDescent="0.3">
      <c r="B26" s="11"/>
      <c r="C26" s="2" t="s">
        <v>107</v>
      </c>
      <c r="D26" s="50">
        <v>58156</v>
      </c>
      <c r="E26" s="60"/>
      <c r="F26" s="60"/>
      <c r="G26" s="60"/>
      <c r="H26" s="76"/>
      <c r="I26" s="140"/>
    </row>
    <row r="27" spans="2:9" x14ac:dyDescent="0.3">
      <c r="B27" s="11"/>
      <c r="C27" s="2" t="s">
        <v>86</v>
      </c>
      <c r="D27" s="50">
        <v>5000</v>
      </c>
      <c r="E27" s="60">
        <v>5000</v>
      </c>
      <c r="F27" s="60">
        <v>5000</v>
      </c>
      <c r="G27" s="60"/>
      <c r="H27" s="76"/>
      <c r="I27" s="140"/>
    </row>
    <row r="28" spans="2:9" x14ac:dyDescent="0.3">
      <c r="B28" s="11"/>
      <c r="C28" s="2" t="s">
        <v>121</v>
      </c>
      <c r="D28" s="50"/>
      <c r="E28" s="60">
        <v>60000</v>
      </c>
      <c r="F28" s="60"/>
      <c r="G28" s="60"/>
      <c r="H28" s="76"/>
      <c r="I28" s="140"/>
    </row>
    <row r="29" spans="2:9" x14ac:dyDescent="0.3">
      <c r="B29" s="11"/>
      <c r="C29" s="2" t="s">
        <v>148</v>
      </c>
      <c r="D29" s="50"/>
      <c r="E29" s="60">
        <v>40000</v>
      </c>
      <c r="F29" s="60"/>
      <c r="G29" s="60"/>
      <c r="H29" s="76"/>
      <c r="I29" s="140"/>
    </row>
    <row r="30" spans="2:9" x14ac:dyDescent="0.3">
      <c r="B30" s="11"/>
      <c r="C30" s="2" t="s">
        <v>103</v>
      </c>
      <c r="D30" s="50">
        <v>1500</v>
      </c>
      <c r="E30" s="60">
        <v>1500</v>
      </c>
      <c r="F30" s="60">
        <v>1500</v>
      </c>
      <c r="G30" s="60"/>
      <c r="H30" s="76"/>
      <c r="I30" s="140"/>
    </row>
    <row r="31" spans="2:9" x14ac:dyDescent="0.3">
      <c r="B31" s="11"/>
      <c r="C31" s="2" t="s">
        <v>112</v>
      </c>
      <c r="D31" s="50"/>
      <c r="E31" s="60"/>
      <c r="F31" s="60">
        <v>8000</v>
      </c>
      <c r="G31" s="60"/>
      <c r="H31" s="76"/>
      <c r="I31" s="140"/>
    </row>
    <row r="32" spans="2:9" x14ac:dyDescent="0.3">
      <c r="B32" s="11"/>
      <c r="C32" s="2" t="s">
        <v>180</v>
      </c>
      <c r="D32" s="50"/>
      <c r="E32" s="60"/>
      <c r="F32" s="60">
        <v>-31772</v>
      </c>
      <c r="G32" s="60"/>
      <c r="H32" s="76"/>
      <c r="I32" s="140"/>
    </row>
    <row r="33" spans="2:9" x14ac:dyDescent="0.3">
      <c r="B33" s="11"/>
      <c r="C33" s="2" t="s">
        <v>221</v>
      </c>
      <c r="D33" s="50">
        <v>9000</v>
      </c>
      <c r="E33" s="60">
        <v>9000</v>
      </c>
      <c r="F33" s="60">
        <v>9000</v>
      </c>
      <c r="G33" s="60"/>
      <c r="H33" s="76"/>
      <c r="I33" s="140">
        <v>26251.773584905663</v>
      </c>
    </row>
    <row r="34" spans="2:9" x14ac:dyDescent="0.3">
      <c r="B34" s="11"/>
      <c r="C34" s="2" t="s">
        <v>181</v>
      </c>
      <c r="D34" s="50"/>
      <c r="E34" s="60"/>
      <c r="F34" s="60">
        <v>6203.35</v>
      </c>
      <c r="G34" s="60"/>
      <c r="H34" s="76"/>
      <c r="I34" s="140"/>
    </row>
    <row r="35" spans="2:9" x14ac:dyDescent="0.3">
      <c r="B35" s="11"/>
      <c r="C35" s="2" t="s">
        <v>228</v>
      </c>
      <c r="D35" s="50"/>
      <c r="E35" s="60"/>
      <c r="F35" s="60"/>
      <c r="G35" s="60"/>
      <c r="H35" s="76"/>
      <c r="I35" s="140"/>
    </row>
    <row r="36" spans="2:9" x14ac:dyDescent="0.3">
      <c r="B36" s="272" t="s">
        <v>151</v>
      </c>
      <c r="C36" s="273"/>
      <c r="D36" s="50"/>
      <c r="E36" s="60"/>
      <c r="F36" s="60"/>
      <c r="G36" s="60"/>
      <c r="H36" s="76"/>
      <c r="I36" s="140"/>
    </row>
    <row r="37" spans="2:9" x14ac:dyDescent="0.3">
      <c r="B37" s="11"/>
      <c r="C37" s="2" t="s">
        <v>114</v>
      </c>
      <c r="D37" s="102"/>
      <c r="E37" s="101"/>
      <c r="F37" s="101"/>
      <c r="G37" s="101"/>
      <c r="H37" s="109"/>
      <c r="I37" s="149"/>
    </row>
    <row r="38" spans="2:9" x14ac:dyDescent="0.3">
      <c r="B38" s="11"/>
      <c r="C38" s="2" t="s">
        <v>99</v>
      </c>
      <c r="D38" s="51"/>
      <c r="E38" s="62"/>
      <c r="F38" s="62"/>
      <c r="G38" s="62"/>
      <c r="H38" s="110"/>
      <c r="I38" s="150"/>
    </row>
    <row r="39" spans="2:9" x14ac:dyDescent="0.3">
      <c r="B39" s="11"/>
      <c r="C39" s="2"/>
      <c r="D39" s="50"/>
      <c r="E39" s="60"/>
      <c r="F39" s="60"/>
      <c r="G39" s="60"/>
      <c r="H39" s="76"/>
      <c r="I39" s="140"/>
    </row>
    <row r="40" spans="2:9" x14ac:dyDescent="0.3">
      <c r="B40" s="37" t="s">
        <v>153</v>
      </c>
      <c r="C40" s="38"/>
      <c r="D40" s="52">
        <f t="shared" ref="D40:I40" si="3">SUM(D14:D39)</f>
        <v>145406</v>
      </c>
      <c r="E40" s="56">
        <f t="shared" si="3"/>
        <v>192467</v>
      </c>
      <c r="F40" s="56">
        <f t="shared" si="3"/>
        <v>72681.350000000006</v>
      </c>
      <c r="G40" s="56">
        <f>SUM(G14:G39)</f>
        <v>90933</v>
      </c>
      <c r="H40" s="72">
        <f t="shared" ref="H40" si="4">SUM(H14:H39)</f>
        <v>94000</v>
      </c>
      <c r="I40" s="120">
        <f t="shared" si="3"/>
        <v>102209</v>
      </c>
    </row>
    <row r="42" spans="2:9" x14ac:dyDescent="0.3">
      <c r="B42" s="23" t="s">
        <v>38</v>
      </c>
      <c r="C42" s="24"/>
      <c r="D42" s="52">
        <f t="shared" ref="D42:I42" si="5">+D10-D40</f>
        <v>-145406</v>
      </c>
      <c r="E42" s="56">
        <f t="shared" si="5"/>
        <v>-192467</v>
      </c>
      <c r="F42" s="56">
        <f t="shared" si="5"/>
        <v>-72681.350000000006</v>
      </c>
      <c r="G42" s="56">
        <f>G10-G40</f>
        <v>-90933</v>
      </c>
      <c r="H42" s="72">
        <f t="shared" ref="H42" si="6">+H10-H40</f>
        <v>-94000</v>
      </c>
      <c r="I42" s="120">
        <f t="shared" si="5"/>
        <v>-102209</v>
      </c>
    </row>
  </sheetData>
  <mergeCells count="8">
    <mergeCell ref="B12:C12"/>
    <mergeCell ref="B36:C36"/>
    <mergeCell ref="B2:I2"/>
    <mergeCell ref="B3:I3"/>
    <mergeCell ref="B4:I4"/>
    <mergeCell ref="B5:I5"/>
    <mergeCell ref="B6:C6"/>
    <mergeCell ref="B11:I11"/>
  </mergeCells>
  <pageMargins left="0.7" right="0.7" top="0.75" bottom="0.75" header="0.3" footer="0.3"/>
  <pageSetup paperSize="9" scale="8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B0E4-E8FF-4427-BAD1-81E46054796B}">
  <sheetPr>
    <pageSetUpPr fitToPage="1"/>
  </sheetPr>
  <dimension ref="A2:N47"/>
  <sheetViews>
    <sheetView workbookViewId="0">
      <selection sqref="A1:O47"/>
    </sheetView>
  </sheetViews>
  <sheetFormatPr defaultRowHeight="14.4" x14ac:dyDescent="0.3"/>
  <cols>
    <col min="1" max="1" width="2" customWidth="1"/>
    <col min="4" max="4" width="15" customWidth="1"/>
    <col min="5" max="5" width="10.5546875" bestFit="1" customWidth="1"/>
    <col min="11" max="11" width="10.44140625" customWidth="1"/>
    <col min="12" max="12" width="9.109375" customWidth="1"/>
    <col min="13" max="13" width="9.5546875" bestFit="1" customWidth="1"/>
    <col min="14" max="14" width="10.33203125" customWidth="1"/>
    <col min="15" max="15" width="1.88671875" customWidth="1"/>
  </cols>
  <sheetData>
    <row r="2" spans="1:14" ht="18" x14ac:dyDescent="0.35">
      <c r="B2" s="249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</row>
    <row r="3" spans="1:14" ht="18" x14ac:dyDescent="0.35">
      <c r="B3" s="274" t="s">
        <v>266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6"/>
    </row>
    <row r="4" spans="1:14" ht="18" x14ac:dyDescent="0.35">
      <c r="B4" s="255" t="s">
        <v>229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8"/>
    </row>
    <row r="5" spans="1:14" x14ac:dyDescent="0.3">
      <c r="B5" s="198"/>
      <c r="C5" s="27"/>
      <c r="D5" s="27"/>
      <c r="E5" s="199" t="s">
        <v>230</v>
      </c>
      <c r="F5" s="200" t="s">
        <v>231</v>
      </c>
      <c r="G5" s="200" t="s">
        <v>232</v>
      </c>
      <c r="H5" s="199" t="s">
        <v>230</v>
      </c>
      <c r="I5" s="200" t="s">
        <v>231</v>
      </c>
      <c r="J5" s="200" t="s">
        <v>232</v>
      </c>
      <c r="K5" s="199" t="s">
        <v>230</v>
      </c>
      <c r="L5" s="200" t="s">
        <v>231</v>
      </c>
      <c r="M5" s="200" t="s">
        <v>232</v>
      </c>
      <c r="N5" s="199" t="s">
        <v>230</v>
      </c>
    </row>
    <row r="6" spans="1:14" x14ac:dyDescent="0.3">
      <c r="B6" s="1" t="s">
        <v>233</v>
      </c>
      <c r="C6" s="2"/>
      <c r="D6" s="2"/>
      <c r="E6" s="201">
        <v>2021</v>
      </c>
      <c r="F6" s="202" t="s">
        <v>234</v>
      </c>
      <c r="G6" s="202" t="s">
        <v>235</v>
      </c>
      <c r="H6" s="201">
        <v>2022</v>
      </c>
      <c r="I6" s="202" t="s">
        <v>234</v>
      </c>
      <c r="J6" s="202" t="s">
        <v>235</v>
      </c>
      <c r="K6" s="201">
        <v>2023</v>
      </c>
      <c r="L6" s="202" t="s">
        <v>234</v>
      </c>
      <c r="M6" s="202" t="s">
        <v>235</v>
      </c>
      <c r="N6" s="201">
        <v>2024</v>
      </c>
    </row>
    <row r="7" spans="1:14" x14ac:dyDescent="0.3">
      <c r="B7" s="203"/>
      <c r="C7" s="43"/>
      <c r="D7" s="43"/>
      <c r="E7" s="204" t="s">
        <v>13</v>
      </c>
      <c r="F7" s="205" t="s">
        <v>13</v>
      </c>
      <c r="G7" s="205" t="s">
        <v>13</v>
      </c>
      <c r="H7" s="204" t="s">
        <v>13</v>
      </c>
      <c r="I7" s="205" t="s">
        <v>13</v>
      </c>
      <c r="J7" s="205" t="s">
        <v>13</v>
      </c>
      <c r="K7" s="204" t="s">
        <v>13</v>
      </c>
      <c r="L7" s="205" t="s">
        <v>13</v>
      </c>
      <c r="M7" s="205" t="s">
        <v>13</v>
      </c>
      <c r="N7" s="204" t="s">
        <v>13</v>
      </c>
    </row>
    <row r="8" spans="1:14" x14ac:dyDescent="0.3">
      <c r="A8" s="114"/>
      <c r="B8" s="206" t="s">
        <v>236</v>
      </c>
      <c r="C8" s="207"/>
      <c r="D8" s="207"/>
      <c r="E8" s="208">
        <f t="shared" ref="E8:K8" si="0">SUM(E9:E17)</f>
        <v>403438.11</v>
      </c>
      <c r="F8" s="209">
        <f t="shared" si="0"/>
        <v>166803.52000000002</v>
      </c>
      <c r="G8" s="209">
        <f t="shared" si="0"/>
        <v>159160.81</v>
      </c>
      <c r="H8" s="208">
        <f t="shared" si="0"/>
        <v>411080.82</v>
      </c>
      <c r="I8" s="210">
        <f t="shared" si="0"/>
        <v>113000</v>
      </c>
      <c r="J8" s="209">
        <f t="shared" si="0"/>
        <v>210244.88</v>
      </c>
      <c r="K8" s="211">
        <f t="shared" si="0"/>
        <v>313835.94</v>
      </c>
      <c r="L8" s="221">
        <f>SUM(L9:L17)</f>
        <v>77115</v>
      </c>
      <c r="M8" s="221">
        <f>SUM(M9:M17)</f>
        <v>100000</v>
      </c>
      <c r="N8" s="211">
        <f t="shared" ref="N8" si="1">SUM(N9:N17)</f>
        <v>290950.94</v>
      </c>
    </row>
    <row r="9" spans="1:14" x14ac:dyDescent="0.3">
      <c r="B9" s="212" t="s">
        <v>237</v>
      </c>
      <c r="C9" s="2"/>
      <c r="D9" s="2"/>
      <c r="E9" s="213">
        <v>25000</v>
      </c>
      <c r="F9" s="214"/>
      <c r="G9" s="214"/>
      <c r="H9" s="213">
        <f>E9+F9-G9</f>
        <v>25000</v>
      </c>
      <c r="I9" s="214"/>
      <c r="J9" s="214">
        <v>5000</v>
      </c>
      <c r="K9" s="215">
        <f t="shared" ref="K9:K17" si="2">H9+I9-J9</f>
        <v>20000</v>
      </c>
      <c r="L9" s="240"/>
      <c r="N9" s="215">
        <f t="shared" ref="N9:N17" si="3">K9+L9-M9</f>
        <v>20000</v>
      </c>
    </row>
    <row r="10" spans="1:14" x14ac:dyDescent="0.3">
      <c r="B10" s="212" t="s">
        <v>238</v>
      </c>
      <c r="C10" s="2"/>
      <c r="D10" s="2"/>
      <c r="E10" s="213">
        <v>128436.18</v>
      </c>
      <c r="F10" s="214"/>
      <c r="G10" s="214"/>
      <c r="H10" s="213">
        <f>E10+F10-G10</f>
        <v>128436.18</v>
      </c>
      <c r="I10" s="214"/>
      <c r="J10" s="214"/>
      <c r="K10" s="215">
        <f t="shared" si="2"/>
        <v>128436.18</v>
      </c>
      <c r="L10" s="240"/>
      <c r="N10" s="215">
        <f t="shared" si="3"/>
        <v>128436.18</v>
      </c>
    </row>
    <row r="11" spans="1:14" x14ac:dyDescent="0.3">
      <c r="B11" s="212" t="s">
        <v>239</v>
      </c>
      <c r="C11" s="2"/>
      <c r="D11" s="2"/>
      <c r="E11" s="213">
        <v>35811.17</v>
      </c>
      <c r="F11" s="214">
        <v>59933</v>
      </c>
      <c r="G11" s="214">
        <f>18459.65+7454.33</f>
        <v>25913.980000000003</v>
      </c>
      <c r="H11" s="213">
        <f>E11+F11-G11</f>
        <v>69830.19</v>
      </c>
      <c r="I11" s="214">
        <f>37000+25000</f>
        <v>62000</v>
      </c>
      <c r="J11" s="214">
        <f>70043+4196+2868+1601+30000</f>
        <v>108708</v>
      </c>
      <c r="K11" s="215">
        <f t="shared" si="2"/>
        <v>23122.190000000002</v>
      </c>
      <c r="L11" s="240">
        <v>42659</v>
      </c>
      <c r="M11" s="240">
        <v>60000</v>
      </c>
      <c r="N11" s="215">
        <f t="shared" si="3"/>
        <v>5781.1900000000023</v>
      </c>
    </row>
    <row r="12" spans="1:14" x14ac:dyDescent="0.3">
      <c r="B12" s="212" t="s">
        <v>272</v>
      </c>
      <c r="C12" s="2"/>
      <c r="D12" s="2"/>
      <c r="E12" s="213"/>
      <c r="F12" s="214"/>
      <c r="G12" s="214"/>
      <c r="H12" s="213"/>
      <c r="I12" s="214">
        <v>30000</v>
      </c>
      <c r="J12" s="214">
        <v>25920.880000000001</v>
      </c>
      <c r="K12" s="215">
        <f t="shared" si="2"/>
        <v>4079.119999999999</v>
      </c>
      <c r="L12" s="240"/>
      <c r="M12" s="240"/>
      <c r="N12" s="215">
        <f t="shared" si="3"/>
        <v>4079.119999999999</v>
      </c>
    </row>
    <row r="13" spans="1:14" x14ac:dyDescent="0.3">
      <c r="B13" s="212" t="s">
        <v>267</v>
      </c>
      <c r="C13" s="2"/>
      <c r="D13" s="2"/>
      <c r="E13" s="216">
        <v>0</v>
      </c>
      <c r="F13" s="214">
        <f>26000+80870.52</f>
        <v>106870.52</v>
      </c>
      <c r="G13" s="214">
        <f>64067.05+32890.1</f>
        <v>96957.15</v>
      </c>
      <c r="H13" s="213">
        <f>E13+F13-G13</f>
        <v>9913.3700000000099</v>
      </c>
      <c r="I13" s="214">
        <v>6000</v>
      </c>
      <c r="J13" s="214">
        <v>6511</v>
      </c>
      <c r="K13" s="215">
        <f t="shared" si="2"/>
        <v>9402.3700000000099</v>
      </c>
      <c r="L13" s="240"/>
      <c r="M13" s="240"/>
      <c r="N13" s="215">
        <f t="shared" si="3"/>
        <v>9402.3700000000099</v>
      </c>
    </row>
    <row r="14" spans="1:14" x14ac:dyDescent="0.3">
      <c r="B14" s="212" t="s">
        <v>240</v>
      </c>
      <c r="C14" s="2"/>
      <c r="D14" s="2"/>
      <c r="E14" s="213">
        <v>7506.03</v>
      </c>
      <c r="F14" s="214"/>
      <c r="G14" s="214">
        <v>2164</v>
      </c>
      <c r="H14" s="213">
        <f>E14+F14-G14</f>
        <v>5342.03</v>
      </c>
      <c r="I14" s="214"/>
      <c r="J14" s="214">
        <v>2000</v>
      </c>
      <c r="K14" s="215">
        <f t="shared" si="2"/>
        <v>3342.0299999999997</v>
      </c>
      <c r="L14" s="240"/>
      <c r="M14" s="240"/>
      <c r="N14" s="215">
        <f t="shared" si="3"/>
        <v>3342.0299999999997</v>
      </c>
    </row>
    <row r="15" spans="1:14" x14ac:dyDescent="0.3">
      <c r="B15" s="212" t="s">
        <v>149</v>
      </c>
      <c r="C15" s="2"/>
      <c r="D15" s="2"/>
      <c r="E15" s="216">
        <v>0</v>
      </c>
      <c r="F15" s="214"/>
      <c r="G15" s="214"/>
      <c r="H15" s="213">
        <f>E15+F15-G15</f>
        <v>0</v>
      </c>
      <c r="I15" s="214"/>
      <c r="J15" s="214"/>
      <c r="K15" s="215">
        <f t="shared" si="2"/>
        <v>0</v>
      </c>
      <c r="L15" s="240"/>
      <c r="M15" s="240"/>
      <c r="N15" s="215">
        <f t="shared" si="3"/>
        <v>0</v>
      </c>
    </row>
    <row r="16" spans="1:14" x14ac:dyDescent="0.3">
      <c r="B16" s="212" t="s">
        <v>241</v>
      </c>
      <c r="C16" s="2"/>
      <c r="D16" s="2"/>
      <c r="E16" s="213">
        <v>21053.01</v>
      </c>
      <c r="F16" s="214"/>
      <c r="G16" s="214">
        <f>3573.41+150</f>
        <v>3723.41</v>
      </c>
      <c r="H16" s="213">
        <f>E16+F16-G16</f>
        <v>17329.599999999999</v>
      </c>
      <c r="I16" s="214">
        <v>15000</v>
      </c>
      <c r="J16" s="214">
        <v>7000</v>
      </c>
      <c r="K16" s="215">
        <f t="shared" si="2"/>
        <v>25329.599999999999</v>
      </c>
      <c r="L16" s="240">
        <v>8204</v>
      </c>
      <c r="M16" s="240"/>
      <c r="N16" s="215">
        <f t="shared" si="3"/>
        <v>33533.599999999999</v>
      </c>
    </row>
    <row r="17" spans="1:14" x14ac:dyDescent="0.3">
      <c r="B17" s="203" t="s">
        <v>242</v>
      </c>
      <c r="C17" s="43"/>
      <c r="D17" s="43"/>
      <c r="E17" s="217">
        <v>185631.72</v>
      </c>
      <c r="F17" s="218"/>
      <c r="G17" s="218">
        <f>25000+5402.27</f>
        <v>30402.27</v>
      </c>
      <c r="H17" s="217">
        <f>E17+F17-G17</f>
        <v>155229.45000000001</v>
      </c>
      <c r="I17" s="218"/>
      <c r="J17" s="218">
        <f>40000+15105</f>
        <v>55105</v>
      </c>
      <c r="K17" s="219">
        <f t="shared" si="2"/>
        <v>100124.45000000001</v>
      </c>
      <c r="L17" s="218">
        <v>26252</v>
      </c>
      <c r="M17" s="218">
        <v>40000</v>
      </c>
      <c r="N17" s="219">
        <f t="shared" si="3"/>
        <v>86376.450000000012</v>
      </c>
    </row>
    <row r="18" spans="1:14" x14ac:dyDescent="0.3">
      <c r="A18" s="114"/>
      <c r="B18" s="1" t="s">
        <v>243</v>
      </c>
      <c r="C18" s="5"/>
      <c r="D18" s="5"/>
      <c r="E18" s="220">
        <f t="shared" ref="E18:K18" si="4">SUM(E19:E24)</f>
        <v>198467.85</v>
      </c>
      <c r="F18" s="221">
        <f t="shared" si="4"/>
        <v>0</v>
      </c>
      <c r="G18" s="222">
        <f t="shared" si="4"/>
        <v>54827.47</v>
      </c>
      <c r="H18" s="220">
        <f t="shared" si="4"/>
        <v>143640.38</v>
      </c>
      <c r="I18" s="222">
        <f t="shared" si="4"/>
        <v>33000</v>
      </c>
      <c r="J18" s="222">
        <f t="shared" si="4"/>
        <v>40481</v>
      </c>
      <c r="K18" s="223">
        <f t="shared" si="4"/>
        <v>136159.38</v>
      </c>
      <c r="L18" s="221">
        <f t="shared" ref="L18:M18" si="5">SUM(L19:L25)</f>
        <v>25094</v>
      </c>
      <c r="M18" s="221">
        <f t="shared" si="5"/>
        <v>110000</v>
      </c>
      <c r="N18" s="223">
        <f t="shared" ref="N18" si="6">SUM(N19:N24)</f>
        <v>81253.38</v>
      </c>
    </row>
    <row r="19" spans="1:14" x14ac:dyDescent="0.3">
      <c r="B19" s="212" t="s">
        <v>244</v>
      </c>
      <c r="C19" s="2"/>
      <c r="D19" s="2"/>
      <c r="E19" s="213">
        <v>1162</v>
      </c>
      <c r="F19" s="214"/>
      <c r="G19" s="214"/>
      <c r="H19" s="213">
        <f t="shared" ref="H19:H24" si="7">E19+F19-G19</f>
        <v>1162</v>
      </c>
      <c r="I19" s="214"/>
      <c r="J19" s="214"/>
      <c r="K19" s="215">
        <f>H19+I19-J19</f>
        <v>1162</v>
      </c>
      <c r="L19" s="240"/>
      <c r="M19" s="240"/>
      <c r="N19" s="215">
        <f>K19+L19-M19</f>
        <v>1162</v>
      </c>
    </row>
    <row r="20" spans="1:14" x14ac:dyDescent="0.3">
      <c r="B20" s="212" t="s">
        <v>245</v>
      </c>
      <c r="C20" s="2"/>
      <c r="D20" s="2"/>
      <c r="E20" s="213">
        <v>23316.29</v>
      </c>
      <c r="F20" s="214"/>
      <c r="G20" s="214">
        <v>7129.33</v>
      </c>
      <c r="H20" s="213">
        <f t="shared" si="7"/>
        <v>16186.960000000001</v>
      </c>
      <c r="I20" s="214"/>
      <c r="J20" s="214">
        <v>2301</v>
      </c>
      <c r="K20" s="215">
        <f t="shared" ref="K20:K24" si="8">H20+I20-J20</f>
        <v>13885.960000000001</v>
      </c>
      <c r="L20" s="240">
        <v>15250</v>
      </c>
      <c r="M20" s="240">
        <v>25000</v>
      </c>
      <c r="N20" s="215">
        <f t="shared" ref="N20:N24" si="9">K20+L20-M20</f>
        <v>4135.9599999999991</v>
      </c>
    </row>
    <row r="21" spans="1:14" x14ac:dyDescent="0.3">
      <c r="B21" s="212" t="s">
        <v>246</v>
      </c>
      <c r="C21" s="2"/>
      <c r="D21" s="2"/>
      <c r="E21" s="213">
        <v>10000</v>
      </c>
      <c r="F21" s="214"/>
      <c r="G21" s="214">
        <v>10000</v>
      </c>
      <c r="H21" s="216">
        <f t="shared" si="7"/>
        <v>0</v>
      </c>
      <c r="I21" s="214"/>
      <c r="J21" s="214"/>
      <c r="K21" s="215">
        <f t="shared" si="8"/>
        <v>0</v>
      </c>
      <c r="L21" s="240"/>
      <c r="M21" s="240"/>
      <c r="N21" s="215">
        <f t="shared" si="9"/>
        <v>0</v>
      </c>
    </row>
    <row r="22" spans="1:14" x14ac:dyDescent="0.3">
      <c r="B22" s="212" t="s">
        <v>247</v>
      </c>
      <c r="C22" s="2"/>
      <c r="D22" s="2"/>
      <c r="E22" s="213">
        <v>47763.65</v>
      </c>
      <c r="F22" s="214"/>
      <c r="G22" s="214">
        <v>1250</v>
      </c>
      <c r="H22" s="213">
        <f t="shared" si="7"/>
        <v>46513.65</v>
      </c>
      <c r="I22" s="214">
        <f>8000+25000</f>
        <v>33000</v>
      </c>
      <c r="J22" s="214">
        <v>1750</v>
      </c>
      <c r="K22" s="215">
        <f t="shared" si="8"/>
        <v>77763.649999999994</v>
      </c>
      <c r="L22" s="240">
        <v>9844</v>
      </c>
      <c r="M22" s="240">
        <v>55000</v>
      </c>
      <c r="N22" s="215">
        <f t="shared" si="9"/>
        <v>32607.649999999994</v>
      </c>
    </row>
    <row r="23" spans="1:14" x14ac:dyDescent="0.3">
      <c r="B23" s="212" t="s">
        <v>248</v>
      </c>
      <c r="C23" s="2"/>
      <c r="D23" s="2"/>
      <c r="E23" s="213">
        <v>2352.64</v>
      </c>
      <c r="F23" s="214"/>
      <c r="G23" s="214"/>
      <c r="H23" s="213">
        <f t="shared" si="7"/>
        <v>2352.64</v>
      </c>
      <c r="I23" s="214"/>
      <c r="J23" s="214"/>
      <c r="K23" s="215">
        <f t="shared" si="8"/>
        <v>2352.64</v>
      </c>
      <c r="L23" s="240"/>
      <c r="M23" s="240"/>
      <c r="N23" s="215">
        <f t="shared" si="9"/>
        <v>2352.64</v>
      </c>
    </row>
    <row r="24" spans="1:14" x14ac:dyDescent="0.3">
      <c r="B24" s="203" t="s">
        <v>249</v>
      </c>
      <c r="C24" s="43"/>
      <c r="D24" s="43"/>
      <c r="E24" s="217">
        <v>113873.27</v>
      </c>
      <c r="F24" s="218"/>
      <c r="G24" s="218">
        <f>33878.14+2570</f>
        <v>36448.14</v>
      </c>
      <c r="H24" s="217">
        <f t="shared" si="7"/>
        <v>77425.13</v>
      </c>
      <c r="I24" s="218"/>
      <c r="J24" s="218">
        <f>34000+2430</f>
        <v>36430</v>
      </c>
      <c r="K24" s="219">
        <f t="shared" si="8"/>
        <v>40995.130000000005</v>
      </c>
      <c r="L24" s="218"/>
      <c r="M24" s="218"/>
      <c r="N24" s="219">
        <f t="shared" si="9"/>
        <v>40995.130000000005</v>
      </c>
    </row>
    <row r="25" spans="1:14" x14ac:dyDescent="0.3">
      <c r="A25" s="114"/>
      <c r="B25" s="1" t="s">
        <v>250</v>
      </c>
      <c r="C25" s="5"/>
      <c r="D25" s="5"/>
      <c r="E25" s="220">
        <f t="shared" ref="E25:M25" si="10">SUM(E26:E32)</f>
        <v>104027.72</v>
      </c>
      <c r="F25" s="222">
        <f t="shared" si="10"/>
        <v>7951.7</v>
      </c>
      <c r="G25" s="222">
        <f t="shared" si="10"/>
        <v>34569</v>
      </c>
      <c r="H25" s="220">
        <f t="shared" si="10"/>
        <v>77410.42</v>
      </c>
      <c r="I25" s="222">
        <f t="shared" si="10"/>
        <v>28000</v>
      </c>
      <c r="J25" s="222">
        <f t="shared" si="10"/>
        <v>40860</v>
      </c>
      <c r="K25" s="223">
        <f t="shared" si="10"/>
        <v>64550.42</v>
      </c>
      <c r="L25" s="221">
        <f t="shared" si="10"/>
        <v>0</v>
      </c>
      <c r="M25" s="221">
        <f t="shared" si="10"/>
        <v>30000</v>
      </c>
      <c r="N25" s="223">
        <f t="shared" ref="N25" si="11">SUM(N26:N32)</f>
        <v>34550.42</v>
      </c>
    </row>
    <row r="26" spans="1:14" x14ac:dyDescent="0.3">
      <c r="B26" s="212" t="s">
        <v>251</v>
      </c>
      <c r="C26" s="2"/>
      <c r="D26" s="2"/>
      <c r="E26" s="213">
        <v>24128.720000000001</v>
      </c>
      <c r="F26" s="214">
        <v>5000</v>
      </c>
      <c r="G26" s="214">
        <f>22074+1800</f>
        <v>23874</v>
      </c>
      <c r="H26" s="213">
        <f t="shared" ref="H26:H32" si="12">E26+F26-G26</f>
        <v>5254.7200000000012</v>
      </c>
      <c r="I26" s="214">
        <v>28000</v>
      </c>
      <c r="J26" s="214">
        <v>24135</v>
      </c>
      <c r="K26" s="215">
        <f>H26+I26-J26</f>
        <v>9119.7200000000012</v>
      </c>
      <c r="L26" s="240"/>
      <c r="M26" s="240"/>
      <c r="N26" s="215">
        <f>K26+L26-M26</f>
        <v>9119.7200000000012</v>
      </c>
    </row>
    <row r="27" spans="1:14" x14ac:dyDescent="0.3">
      <c r="B27" s="212" t="s">
        <v>268</v>
      </c>
      <c r="C27" s="2"/>
      <c r="D27" s="2"/>
      <c r="E27" s="216">
        <v>0</v>
      </c>
      <c r="F27" s="214">
        <v>2951.7</v>
      </c>
      <c r="G27" s="214"/>
      <c r="H27" s="213">
        <f t="shared" si="12"/>
        <v>2951.7</v>
      </c>
      <c r="I27" s="214"/>
      <c r="J27" s="214"/>
      <c r="K27" s="215">
        <f t="shared" ref="K27:K30" si="13">H27+I27-J27</f>
        <v>2951.7</v>
      </c>
      <c r="L27" s="240"/>
      <c r="M27" s="240"/>
      <c r="N27" s="215">
        <f t="shared" ref="N27:N32" si="14">K27+L27-M27</f>
        <v>2951.7</v>
      </c>
    </row>
    <row r="28" spans="1:14" x14ac:dyDescent="0.3">
      <c r="B28" s="212" t="s">
        <v>271</v>
      </c>
      <c r="C28" s="2"/>
      <c r="D28" s="2"/>
      <c r="E28" s="213">
        <v>8000</v>
      </c>
      <c r="F28" s="214"/>
      <c r="G28" s="214">
        <v>8000</v>
      </c>
      <c r="H28" s="216">
        <f t="shared" si="12"/>
        <v>0</v>
      </c>
      <c r="I28" s="214"/>
      <c r="J28" s="214"/>
      <c r="K28" s="215">
        <f t="shared" si="13"/>
        <v>0</v>
      </c>
      <c r="N28" s="215">
        <f t="shared" si="14"/>
        <v>0</v>
      </c>
    </row>
    <row r="29" spans="1:14" x14ac:dyDescent="0.3">
      <c r="B29" s="212" t="s">
        <v>269</v>
      </c>
      <c r="C29" s="2"/>
      <c r="D29" s="2"/>
      <c r="E29" s="213">
        <v>50000</v>
      </c>
      <c r="F29" s="214"/>
      <c r="G29" s="214">
        <v>300</v>
      </c>
      <c r="H29" s="213">
        <f t="shared" si="12"/>
        <v>49700</v>
      </c>
      <c r="I29" s="214"/>
      <c r="J29" s="214">
        <f>6725+10000</f>
        <v>16725</v>
      </c>
      <c r="K29" s="215">
        <f t="shared" si="13"/>
        <v>32975</v>
      </c>
      <c r="M29" s="240">
        <v>30000</v>
      </c>
      <c r="N29" s="215">
        <f t="shared" si="14"/>
        <v>2975</v>
      </c>
    </row>
    <row r="30" spans="1:14" x14ac:dyDescent="0.3">
      <c r="B30" s="212" t="s">
        <v>270</v>
      </c>
      <c r="C30" s="2"/>
      <c r="D30" s="2"/>
      <c r="E30" s="213">
        <v>2395</v>
      </c>
      <c r="F30" s="214"/>
      <c r="G30" s="214">
        <v>2395</v>
      </c>
      <c r="H30" s="216">
        <f t="shared" si="12"/>
        <v>0</v>
      </c>
      <c r="I30" s="214"/>
      <c r="J30" s="214"/>
      <c r="K30" s="215">
        <f t="shared" si="13"/>
        <v>0</v>
      </c>
      <c r="N30" s="215">
        <f t="shared" si="14"/>
        <v>0</v>
      </c>
    </row>
    <row r="31" spans="1:14" x14ac:dyDescent="0.3">
      <c r="B31" s="212" t="s">
        <v>252</v>
      </c>
      <c r="C31" s="2"/>
      <c r="D31" s="2"/>
      <c r="E31" s="213">
        <v>4000</v>
      </c>
      <c r="F31" s="214"/>
      <c r="G31" s="214"/>
      <c r="H31" s="213">
        <f t="shared" si="12"/>
        <v>4000</v>
      </c>
      <c r="I31" s="214"/>
      <c r="J31" s="214"/>
      <c r="K31" s="215">
        <f t="shared" ref="K31:K32" si="15">H31+I31-J31</f>
        <v>4000</v>
      </c>
      <c r="N31" s="215">
        <f t="shared" si="14"/>
        <v>4000</v>
      </c>
    </row>
    <row r="32" spans="1:14" x14ac:dyDescent="0.3">
      <c r="B32" s="203" t="s">
        <v>253</v>
      </c>
      <c r="C32" s="43"/>
      <c r="D32" s="43"/>
      <c r="E32" s="217">
        <v>15504</v>
      </c>
      <c r="F32" s="218"/>
      <c r="G32" s="218"/>
      <c r="H32" s="217">
        <f t="shared" si="12"/>
        <v>15504</v>
      </c>
      <c r="I32" s="218"/>
      <c r="J32" s="218"/>
      <c r="K32" s="219">
        <f t="shared" si="15"/>
        <v>15504</v>
      </c>
      <c r="L32" s="218"/>
      <c r="M32" s="218"/>
      <c r="N32" s="219">
        <f t="shared" si="14"/>
        <v>15504</v>
      </c>
    </row>
    <row r="33" spans="1:14" x14ac:dyDescent="0.3">
      <c r="A33" s="114"/>
      <c r="B33" s="1" t="s">
        <v>254</v>
      </c>
      <c r="C33" s="5"/>
      <c r="D33" s="5"/>
      <c r="E33" s="220">
        <f t="shared" ref="E33:N33" si="16">SUM(E34:E39)</f>
        <v>214796.31999999998</v>
      </c>
      <c r="F33" s="221">
        <f t="shared" si="16"/>
        <v>0</v>
      </c>
      <c r="G33" s="224">
        <f t="shared" si="16"/>
        <v>0</v>
      </c>
      <c r="H33" s="220">
        <f t="shared" si="16"/>
        <v>214796.31999999998</v>
      </c>
      <c r="I33" s="221">
        <f t="shared" si="16"/>
        <v>0</v>
      </c>
      <c r="J33" s="221">
        <f t="shared" si="16"/>
        <v>0</v>
      </c>
      <c r="K33" s="223">
        <f t="shared" si="16"/>
        <v>214796.31999999998</v>
      </c>
      <c r="L33" s="221">
        <f t="shared" si="16"/>
        <v>0</v>
      </c>
      <c r="M33" s="221">
        <f t="shared" si="16"/>
        <v>0</v>
      </c>
      <c r="N33" s="223">
        <f t="shared" si="16"/>
        <v>214796.31999999998</v>
      </c>
    </row>
    <row r="34" spans="1:14" x14ac:dyDescent="0.3">
      <c r="B34" s="212" t="s">
        <v>255</v>
      </c>
      <c r="C34" s="2"/>
      <c r="D34" s="2"/>
      <c r="E34" s="213">
        <v>39475</v>
      </c>
      <c r="F34" s="214"/>
      <c r="G34" s="214"/>
      <c r="H34" s="213">
        <f t="shared" ref="H34:H39" si="17">E34+F34-G34</f>
        <v>39475</v>
      </c>
      <c r="I34" s="214"/>
      <c r="J34" s="214"/>
      <c r="K34" s="215">
        <f t="shared" ref="K34:K39" si="18">H34+I34-J34</f>
        <v>39475</v>
      </c>
      <c r="N34" s="215">
        <f t="shared" ref="N34:N39" si="19">K34+L34-M34</f>
        <v>39475</v>
      </c>
    </row>
    <row r="35" spans="1:14" x14ac:dyDescent="0.3">
      <c r="B35" s="212" t="s">
        <v>256</v>
      </c>
      <c r="C35" s="2"/>
      <c r="D35" s="2"/>
      <c r="E35" s="225">
        <v>119815.42</v>
      </c>
      <c r="F35" s="214"/>
      <c r="G35" s="9"/>
      <c r="H35" s="225">
        <f t="shared" si="17"/>
        <v>119815.42</v>
      </c>
      <c r="I35" s="214"/>
      <c r="J35" s="9"/>
      <c r="K35" s="226">
        <f t="shared" si="18"/>
        <v>119815.42</v>
      </c>
      <c r="N35" s="226">
        <f t="shared" si="19"/>
        <v>119815.42</v>
      </c>
    </row>
    <row r="36" spans="1:14" x14ac:dyDescent="0.3">
      <c r="B36" s="212" t="s">
        <v>257</v>
      </c>
      <c r="C36" s="2"/>
      <c r="D36" s="2"/>
      <c r="E36" s="225">
        <v>2160</v>
      </c>
      <c r="F36" s="214"/>
      <c r="G36" s="9"/>
      <c r="H36" s="225">
        <f t="shared" si="17"/>
        <v>2160</v>
      </c>
      <c r="I36" s="214"/>
      <c r="J36" s="9"/>
      <c r="K36" s="226">
        <f t="shared" si="18"/>
        <v>2160</v>
      </c>
      <c r="N36" s="226">
        <f t="shared" si="19"/>
        <v>2160</v>
      </c>
    </row>
    <row r="37" spans="1:14" x14ac:dyDescent="0.3">
      <c r="B37" s="212" t="s">
        <v>258</v>
      </c>
      <c r="C37" s="2"/>
      <c r="D37" s="2"/>
      <c r="E37" s="225">
        <v>5025</v>
      </c>
      <c r="F37" s="214"/>
      <c r="G37" s="9"/>
      <c r="H37" s="225">
        <f t="shared" si="17"/>
        <v>5025</v>
      </c>
      <c r="I37" s="214"/>
      <c r="J37" s="9"/>
      <c r="K37" s="215">
        <f t="shared" si="18"/>
        <v>5025</v>
      </c>
      <c r="N37" s="215">
        <f t="shared" si="19"/>
        <v>5025</v>
      </c>
    </row>
    <row r="38" spans="1:14" x14ac:dyDescent="0.3">
      <c r="B38" s="212" t="s">
        <v>259</v>
      </c>
      <c r="C38" s="2"/>
      <c r="D38" s="2"/>
      <c r="E38" s="225">
        <v>45548.57</v>
      </c>
      <c r="F38" s="214"/>
      <c r="G38" s="9"/>
      <c r="H38" s="225">
        <f t="shared" si="17"/>
        <v>45548.57</v>
      </c>
      <c r="I38" s="214"/>
      <c r="J38" s="9"/>
      <c r="K38" s="226">
        <f t="shared" si="18"/>
        <v>45548.57</v>
      </c>
      <c r="N38" s="226">
        <f t="shared" si="19"/>
        <v>45548.57</v>
      </c>
    </row>
    <row r="39" spans="1:14" x14ac:dyDescent="0.3">
      <c r="B39" s="203" t="s">
        <v>260</v>
      </c>
      <c r="C39" s="43"/>
      <c r="D39" s="43"/>
      <c r="E39" s="227">
        <v>2772.33</v>
      </c>
      <c r="F39" s="218"/>
      <c r="G39" s="228"/>
      <c r="H39" s="227">
        <f t="shared" si="17"/>
        <v>2772.33</v>
      </c>
      <c r="I39" s="218"/>
      <c r="J39" s="228"/>
      <c r="K39" s="229">
        <f t="shared" si="18"/>
        <v>2772.33</v>
      </c>
      <c r="L39" s="218"/>
      <c r="M39" s="218"/>
      <c r="N39" s="229">
        <f t="shared" si="19"/>
        <v>2772.33</v>
      </c>
    </row>
    <row r="40" spans="1:14" x14ac:dyDescent="0.3">
      <c r="A40" s="114"/>
      <c r="B40" s="1" t="s">
        <v>261</v>
      </c>
      <c r="C40" s="5"/>
      <c r="D40" s="5"/>
      <c r="E40" s="230">
        <f t="shared" ref="E40:M40" si="20">SUM(E41:E43)</f>
        <v>96394.3</v>
      </c>
      <c r="F40" s="221">
        <f t="shared" si="20"/>
        <v>0</v>
      </c>
      <c r="G40" s="222">
        <f t="shared" si="20"/>
        <v>8128.98</v>
      </c>
      <c r="H40" s="230">
        <f t="shared" si="20"/>
        <v>88265.32</v>
      </c>
      <c r="I40" s="221">
        <f t="shared" si="20"/>
        <v>0</v>
      </c>
      <c r="J40" s="221">
        <f t="shared" si="20"/>
        <v>500</v>
      </c>
      <c r="K40" s="231">
        <f t="shared" si="20"/>
        <v>87765.32</v>
      </c>
      <c r="L40" s="221">
        <f t="shared" si="20"/>
        <v>0</v>
      </c>
      <c r="M40" s="221">
        <f t="shared" si="20"/>
        <v>40000</v>
      </c>
      <c r="N40" s="231">
        <f t="shared" ref="N40" si="21">SUM(N41:N43)</f>
        <v>47765.32</v>
      </c>
    </row>
    <row r="41" spans="1:14" x14ac:dyDescent="0.3">
      <c r="B41" s="212" t="s">
        <v>262</v>
      </c>
      <c r="C41" s="2"/>
      <c r="D41" s="2"/>
      <c r="E41" s="225">
        <v>35441</v>
      </c>
      <c r="F41" s="214"/>
      <c r="G41" s="9"/>
      <c r="H41" s="225">
        <f>E41+F41-G41</f>
        <v>35441</v>
      </c>
      <c r="I41" s="214"/>
      <c r="J41" s="9"/>
      <c r="K41" s="226">
        <f t="shared" ref="K41:K43" si="22">H41+I41-J41</f>
        <v>35441</v>
      </c>
      <c r="N41" s="226">
        <f t="shared" ref="N41:N43" si="23">K41+L41-M41</f>
        <v>35441</v>
      </c>
    </row>
    <row r="42" spans="1:14" x14ac:dyDescent="0.3">
      <c r="B42" s="212" t="s">
        <v>263</v>
      </c>
      <c r="C42" s="2"/>
      <c r="D42" s="2"/>
      <c r="E42" s="225">
        <v>40000</v>
      </c>
      <c r="F42" s="214"/>
      <c r="G42" s="9"/>
      <c r="H42" s="225">
        <f>E42+F42-G42</f>
        <v>40000</v>
      </c>
      <c r="I42" s="214"/>
      <c r="J42" s="9"/>
      <c r="K42" s="226">
        <f t="shared" si="22"/>
        <v>40000</v>
      </c>
      <c r="M42" s="240">
        <v>40000</v>
      </c>
      <c r="N42" s="226">
        <f t="shared" si="23"/>
        <v>0</v>
      </c>
    </row>
    <row r="43" spans="1:14" x14ac:dyDescent="0.3">
      <c r="B43" s="203" t="s">
        <v>264</v>
      </c>
      <c r="C43" s="43"/>
      <c r="D43" s="43"/>
      <c r="E43" s="227">
        <v>20953.3</v>
      </c>
      <c r="F43" s="218"/>
      <c r="G43" s="228">
        <v>8128.98</v>
      </c>
      <c r="H43" s="227">
        <f>E43+F43-G43</f>
        <v>12824.32</v>
      </c>
      <c r="I43" s="218"/>
      <c r="J43" s="228">
        <v>500</v>
      </c>
      <c r="K43" s="229">
        <f t="shared" si="22"/>
        <v>12324.32</v>
      </c>
      <c r="L43" s="218"/>
      <c r="M43" s="218"/>
      <c r="N43" s="229">
        <f t="shared" si="23"/>
        <v>12324.32</v>
      </c>
    </row>
    <row r="44" spans="1:14" x14ac:dyDescent="0.3">
      <c r="B44" s="1" t="s">
        <v>265</v>
      </c>
      <c r="C44" s="2"/>
      <c r="D44" s="2"/>
      <c r="E44" s="232">
        <f>E45</f>
        <v>240693.5</v>
      </c>
      <c r="F44" s="221">
        <v>0</v>
      </c>
      <c r="G44" s="222">
        <f>G45</f>
        <v>10000</v>
      </c>
      <c r="H44" s="232">
        <f>H45</f>
        <v>230693.5</v>
      </c>
      <c r="I44" s="221">
        <v>0</v>
      </c>
      <c r="J44" s="221">
        <f>J45</f>
        <v>0</v>
      </c>
      <c r="K44" s="231">
        <f>K45</f>
        <v>230693.5</v>
      </c>
      <c r="L44" s="221">
        <f t="shared" ref="L44:M44" si="24">L45</f>
        <v>0</v>
      </c>
      <c r="M44" s="221">
        <f t="shared" si="24"/>
        <v>0</v>
      </c>
      <c r="N44" s="231">
        <f>N45</f>
        <v>230693.5</v>
      </c>
    </row>
    <row r="45" spans="1:14" x14ac:dyDescent="0.3">
      <c r="B45" s="203" t="s">
        <v>265</v>
      </c>
      <c r="C45" s="43"/>
      <c r="D45" s="43"/>
      <c r="E45" s="227">
        <f>240693.5</f>
        <v>240693.5</v>
      </c>
      <c r="F45" s="228"/>
      <c r="G45" s="228">
        <v>10000</v>
      </c>
      <c r="H45" s="227">
        <f>E45+F45-G45</f>
        <v>230693.5</v>
      </c>
      <c r="I45" s="228"/>
      <c r="J45" s="228"/>
      <c r="K45" s="229">
        <f>H45+I45-J45</f>
        <v>230693.5</v>
      </c>
      <c r="N45" s="229">
        <f>K45+L45-M45</f>
        <v>230693.5</v>
      </c>
    </row>
    <row r="46" spans="1:14" x14ac:dyDescent="0.3">
      <c r="B46" s="233" t="s">
        <v>15</v>
      </c>
      <c r="C46" s="234"/>
      <c r="D46" s="235"/>
      <c r="E46" s="236">
        <f t="shared" ref="E46:N46" si="25">E8+E18+E25+E33+E40+E44</f>
        <v>1257817.7999999998</v>
      </c>
      <c r="F46" s="237">
        <f t="shared" si="25"/>
        <v>174755.22000000003</v>
      </c>
      <c r="G46" s="237">
        <f t="shared" si="25"/>
        <v>266686.26</v>
      </c>
      <c r="H46" s="236">
        <f t="shared" si="25"/>
        <v>1165886.76</v>
      </c>
      <c r="I46" s="237">
        <f t="shared" si="25"/>
        <v>174000</v>
      </c>
      <c r="J46" s="237">
        <f t="shared" si="25"/>
        <v>292085.88</v>
      </c>
      <c r="K46" s="238">
        <f t="shared" si="25"/>
        <v>1047800.8799999999</v>
      </c>
      <c r="L46" s="237">
        <f t="shared" si="25"/>
        <v>102209</v>
      </c>
      <c r="M46" s="237">
        <f t="shared" si="25"/>
        <v>280000</v>
      </c>
      <c r="N46" s="238">
        <f t="shared" si="25"/>
        <v>900009.87999999989</v>
      </c>
    </row>
    <row r="47" spans="1:14" x14ac:dyDescent="0.3">
      <c r="H47" s="239"/>
    </row>
  </sheetData>
  <mergeCells count="3">
    <mergeCell ref="B3:N3"/>
    <mergeCell ref="B4:N4"/>
    <mergeCell ref="B2:N2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01F7-E3DB-41E8-BFA3-9DAE6F51F280}">
  <sheetPr>
    <pageSetUpPr fitToPage="1"/>
  </sheetPr>
  <dimension ref="B2:L51"/>
  <sheetViews>
    <sheetView tabSelected="1" topLeftCell="A30" workbookViewId="0">
      <selection activeCell="L43" sqref="L43"/>
    </sheetView>
  </sheetViews>
  <sheetFormatPr defaultRowHeight="14.4" x14ac:dyDescent="0.3"/>
  <cols>
    <col min="1" max="1" width="2.109375" customWidth="1"/>
    <col min="2" max="2" width="2" customWidth="1"/>
    <col min="3" max="3" width="27.44140625" customWidth="1"/>
    <col min="4" max="8" width="11.6640625" customWidth="1"/>
    <col min="9" max="9" width="12.5546875" customWidth="1"/>
    <col min="10" max="10" width="2.33203125" customWidth="1"/>
    <col min="11" max="11" width="2" customWidth="1"/>
    <col min="12" max="12" width="9.33203125" bestFit="1" customWidth="1"/>
  </cols>
  <sheetData>
    <row r="2" spans="2:9" ht="18" x14ac:dyDescent="0.35">
      <c r="B2" s="249" t="s">
        <v>1</v>
      </c>
      <c r="C2" s="250"/>
      <c r="D2" s="250"/>
      <c r="E2" s="250"/>
      <c r="F2" s="250"/>
      <c r="G2" s="250"/>
      <c r="H2" s="250"/>
      <c r="I2" s="251"/>
    </row>
    <row r="3" spans="2:9" ht="18" x14ac:dyDescent="0.35">
      <c r="B3" s="252" t="s">
        <v>152</v>
      </c>
      <c r="C3" s="253"/>
      <c r="D3" s="253"/>
      <c r="E3" s="253"/>
      <c r="F3" s="253"/>
      <c r="G3" s="253"/>
      <c r="H3" s="253"/>
      <c r="I3" s="254"/>
    </row>
    <row r="4" spans="2:9" ht="18" x14ac:dyDescent="0.35">
      <c r="B4" s="255" t="s">
        <v>213</v>
      </c>
      <c r="C4" s="256"/>
      <c r="D4" s="256"/>
      <c r="E4" s="256"/>
      <c r="F4" s="256"/>
      <c r="G4" s="256"/>
      <c r="H4" s="256"/>
      <c r="I4" s="257"/>
    </row>
    <row r="5" spans="2:9" ht="15.6" x14ac:dyDescent="0.3">
      <c r="B5" s="258" t="s">
        <v>2</v>
      </c>
      <c r="C5" s="259"/>
      <c r="D5" s="259"/>
      <c r="E5" s="259"/>
      <c r="F5" s="259"/>
      <c r="G5" s="259"/>
      <c r="H5" s="259"/>
      <c r="I5" s="260"/>
    </row>
    <row r="6" spans="2:9" x14ac:dyDescent="0.3">
      <c r="B6" s="14" t="s">
        <v>96</v>
      </c>
      <c r="C6" s="2"/>
      <c r="D6" s="16" t="s">
        <v>4</v>
      </c>
      <c r="E6" s="16" t="s">
        <v>5</v>
      </c>
      <c r="F6" s="16" t="s">
        <v>6</v>
      </c>
      <c r="G6" s="16" t="s">
        <v>7</v>
      </c>
      <c r="H6" s="68" t="s">
        <v>8</v>
      </c>
      <c r="I6" s="134" t="s">
        <v>214</v>
      </c>
    </row>
    <row r="7" spans="2:9" ht="33" customHeight="1" x14ac:dyDescent="0.3">
      <c r="B7" s="4"/>
      <c r="C7" s="5" t="s">
        <v>10</v>
      </c>
      <c r="D7" s="85" t="s">
        <v>11</v>
      </c>
      <c r="E7" s="85" t="s">
        <v>11</v>
      </c>
      <c r="F7" s="85" t="s">
        <v>11</v>
      </c>
      <c r="G7" s="85" t="s">
        <v>11</v>
      </c>
      <c r="H7" s="177" t="s">
        <v>192</v>
      </c>
      <c r="I7" s="178" t="s">
        <v>215</v>
      </c>
    </row>
    <row r="8" spans="2:9" x14ac:dyDescent="0.3">
      <c r="B8" s="1"/>
      <c r="C8" s="5"/>
      <c r="D8" s="29" t="s">
        <v>13</v>
      </c>
      <c r="E8" s="125" t="s">
        <v>13</v>
      </c>
      <c r="F8" s="29" t="s">
        <v>13</v>
      </c>
      <c r="G8" s="29" t="s">
        <v>13</v>
      </c>
      <c r="H8" s="75" t="s">
        <v>13</v>
      </c>
      <c r="I8" s="131" t="s">
        <v>13</v>
      </c>
    </row>
    <row r="9" spans="2:9" x14ac:dyDescent="0.3">
      <c r="B9" s="1"/>
      <c r="C9" s="2" t="s">
        <v>3</v>
      </c>
      <c r="D9" s="65">
        <f>Personnel!D11</f>
        <v>78142.27</v>
      </c>
      <c r="E9" s="55">
        <f>Personnel!E11</f>
        <v>78995</v>
      </c>
      <c r="F9" s="65">
        <f>Personnel!F11</f>
        <v>65867.290000000008</v>
      </c>
      <c r="G9" s="65">
        <f>Personnel!G11</f>
        <v>55631</v>
      </c>
      <c r="H9" s="151">
        <f>Personnel!H11</f>
        <v>68000</v>
      </c>
      <c r="I9" s="126">
        <f>Personnel!I11</f>
        <v>85581</v>
      </c>
    </row>
    <row r="10" spans="2:9" x14ac:dyDescent="0.3">
      <c r="B10" s="1"/>
      <c r="C10" s="2" t="s">
        <v>176</v>
      </c>
      <c r="D10" s="65">
        <f>'V&amp;C'!D19</f>
        <v>120484.99</v>
      </c>
      <c r="E10" s="55">
        <f>'V&amp;C'!E19</f>
        <v>118498</v>
      </c>
      <c r="F10" s="65">
        <f>'V&amp;C'!F19</f>
        <v>19384.900000000001</v>
      </c>
      <c r="G10" s="65">
        <f>'V&amp;C'!G19</f>
        <v>82099</v>
      </c>
      <c r="H10" s="151">
        <f>'V&amp;C'!H19</f>
        <v>106750</v>
      </c>
      <c r="I10" s="126">
        <f>'V&amp;C'!I19</f>
        <v>139500</v>
      </c>
    </row>
    <row r="11" spans="2:9" x14ac:dyDescent="0.3">
      <c r="B11" s="1"/>
      <c r="C11" s="2" t="s">
        <v>177</v>
      </c>
      <c r="D11" s="65">
        <f>'Heritage Town Events'!D11</f>
        <v>1623.82</v>
      </c>
      <c r="E11" s="55">
        <f>'Heritage Town Events'!E11</f>
        <v>0</v>
      </c>
      <c r="F11" s="65">
        <f>'Heritage Town Events'!F11</f>
        <v>125</v>
      </c>
      <c r="G11" s="65">
        <f>'Heritage Town Events'!G11</f>
        <v>2225</v>
      </c>
      <c r="H11" s="151">
        <f>'Heritage Town Events'!H11</f>
        <v>0</v>
      </c>
      <c r="I11" s="126">
        <f>'Heritage Town Events'!I11</f>
        <v>0</v>
      </c>
    </row>
    <row r="12" spans="2:9" x14ac:dyDescent="0.3">
      <c r="B12" s="1"/>
      <c r="C12" s="2" t="s">
        <v>178</v>
      </c>
      <c r="D12" s="65">
        <f>Amenities!D17</f>
        <v>74617.010000000009</v>
      </c>
      <c r="E12" s="55">
        <f>Amenities!E17</f>
        <v>82325</v>
      </c>
      <c r="F12" s="65">
        <f>Amenities!F17</f>
        <v>41677.303000000007</v>
      </c>
      <c r="G12" s="65">
        <f>Amenities!G17</f>
        <v>38518</v>
      </c>
      <c r="H12" s="151">
        <f>Amenities!H17</f>
        <v>50883</v>
      </c>
      <c r="I12" s="126">
        <f>Amenities!I17</f>
        <v>32650</v>
      </c>
    </row>
    <row r="13" spans="2:9" x14ac:dyDescent="0.3">
      <c r="B13" s="1"/>
      <c r="C13" s="2" t="s">
        <v>85</v>
      </c>
      <c r="D13" s="65">
        <f>Cemetery!D16</f>
        <v>50399</v>
      </c>
      <c r="E13" s="55">
        <f>Cemetery!E16</f>
        <v>50614</v>
      </c>
      <c r="F13" s="65">
        <f>Cemetery!F16</f>
        <v>47940</v>
      </c>
      <c r="G13" s="65">
        <f>Cemetery!G16</f>
        <v>49509</v>
      </c>
      <c r="H13" s="151">
        <f>Cemetery!H16</f>
        <v>48185</v>
      </c>
      <c r="I13" s="126">
        <f>Cemetery!I16</f>
        <v>49000</v>
      </c>
    </row>
    <row r="14" spans="2:9" x14ac:dyDescent="0.3">
      <c r="B14" s="1"/>
      <c r="C14" s="2" t="s">
        <v>86</v>
      </c>
      <c r="D14" s="65">
        <f>Allotments!D12</f>
        <v>7407.75</v>
      </c>
      <c r="E14" s="55">
        <f>Allotments!E12</f>
        <v>12201</v>
      </c>
      <c r="F14" s="65">
        <v>8129</v>
      </c>
      <c r="G14" s="65">
        <f>Allotments!G12</f>
        <v>11214</v>
      </c>
      <c r="H14" s="151">
        <f>Allotments!H12</f>
        <v>8748</v>
      </c>
      <c r="I14" s="126">
        <f>Allotments!I12</f>
        <v>12100</v>
      </c>
    </row>
    <row r="15" spans="2:9" x14ac:dyDescent="0.3">
      <c r="B15" s="1"/>
      <c r="C15" s="2" t="s">
        <v>110</v>
      </c>
      <c r="D15" s="65">
        <f>'Rates Precept and Other'!D9</f>
        <v>759192</v>
      </c>
      <c r="E15" s="55">
        <f>'Rates Precept and Other'!E9</f>
        <v>767015</v>
      </c>
      <c r="F15" s="65">
        <f>'Rates Precept and Other'!F9</f>
        <v>810124</v>
      </c>
      <c r="G15" s="65">
        <f>'Rates Precept and Other'!G9</f>
        <v>808866</v>
      </c>
      <c r="H15" s="151">
        <v>833239</v>
      </c>
      <c r="I15" s="126">
        <v>1024065</v>
      </c>
    </row>
    <row r="16" spans="2:9" x14ac:dyDescent="0.3">
      <c r="B16" s="1"/>
      <c r="C16" s="2" t="s">
        <v>87</v>
      </c>
      <c r="D16" s="65">
        <f>'Rates Precept and Other'!D22</f>
        <v>249790.21999999997</v>
      </c>
      <c r="E16" s="55">
        <f>'Rates Precept and Other'!E22</f>
        <v>70057</v>
      </c>
      <c r="F16" s="65">
        <v>35089</v>
      </c>
      <c r="G16" s="65">
        <f>'Rates Precept and Other'!G22</f>
        <v>51146</v>
      </c>
      <c r="H16" s="151">
        <f>'Rates Precept and Other'!H22</f>
        <v>35600</v>
      </c>
      <c r="I16" s="126">
        <f>'Rates Precept and Other'!I22</f>
        <v>35545</v>
      </c>
    </row>
    <row r="17" spans="2:9" x14ac:dyDescent="0.3">
      <c r="B17" s="1"/>
      <c r="C17" s="2" t="s">
        <v>189</v>
      </c>
      <c r="D17" s="65">
        <v>27086</v>
      </c>
      <c r="E17" s="55"/>
      <c r="F17" s="65"/>
      <c r="G17" s="65"/>
      <c r="H17" s="151"/>
      <c r="I17" s="126"/>
    </row>
    <row r="18" spans="2:9" x14ac:dyDescent="0.3">
      <c r="B18" s="11"/>
      <c r="C18" s="2"/>
      <c r="D18" s="66"/>
      <c r="E18" s="55"/>
      <c r="F18" s="65"/>
      <c r="G18" s="65"/>
      <c r="H18" s="152"/>
      <c r="I18" s="179"/>
    </row>
    <row r="19" spans="2:9" x14ac:dyDescent="0.3">
      <c r="B19" s="12" t="s">
        <v>15</v>
      </c>
      <c r="C19" s="13"/>
      <c r="D19" s="56">
        <f t="shared" ref="D19:I19" si="0">SUM(D9:D18)</f>
        <v>1368743.06</v>
      </c>
      <c r="E19" s="56">
        <f t="shared" si="0"/>
        <v>1179705</v>
      </c>
      <c r="F19" s="56">
        <f t="shared" si="0"/>
        <v>1028336.493</v>
      </c>
      <c r="G19" s="56">
        <f t="shared" si="0"/>
        <v>1099208</v>
      </c>
      <c r="H19" s="72">
        <f t="shared" ref="H19" si="1">SUM(H9:H18)</f>
        <v>1151405</v>
      </c>
      <c r="I19" s="120">
        <f t="shared" si="0"/>
        <v>1378441</v>
      </c>
    </row>
    <row r="20" spans="2:9" ht="15.6" x14ac:dyDescent="0.3">
      <c r="B20" s="246" t="s">
        <v>16</v>
      </c>
      <c r="C20" s="247"/>
      <c r="D20" s="247"/>
      <c r="E20" s="247"/>
      <c r="F20" s="247"/>
      <c r="G20" s="247"/>
      <c r="H20" s="247"/>
      <c r="I20" s="248"/>
    </row>
    <row r="21" spans="2:9" x14ac:dyDescent="0.3">
      <c r="B21" s="14" t="str">
        <f>+B6</f>
        <v>All Departments</v>
      </c>
      <c r="C21" s="15"/>
      <c r="D21" s="16" t="s">
        <v>4</v>
      </c>
      <c r="E21" s="16" t="s">
        <v>5</v>
      </c>
      <c r="F21" s="16" t="s">
        <v>6</v>
      </c>
      <c r="G21" s="16" t="s">
        <v>7</v>
      </c>
      <c r="H21" s="68" t="s">
        <v>8</v>
      </c>
      <c r="I21" s="134" t="s">
        <v>8</v>
      </c>
    </row>
    <row r="22" spans="2:9" ht="28.8" x14ac:dyDescent="0.3">
      <c r="B22" s="17"/>
      <c r="C22" s="18" t="str">
        <f>+C7</f>
        <v>NAME</v>
      </c>
      <c r="D22" s="85" t="s">
        <v>11</v>
      </c>
      <c r="E22" s="85" t="s">
        <v>11</v>
      </c>
      <c r="F22" s="85" t="s">
        <v>11</v>
      </c>
      <c r="G22" s="85" t="s">
        <v>11</v>
      </c>
      <c r="H22" s="177" t="s">
        <v>192</v>
      </c>
      <c r="I22" s="178" t="s">
        <v>193</v>
      </c>
    </row>
    <row r="23" spans="2:9" x14ac:dyDescent="0.3">
      <c r="B23" s="19"/>
      <c r="C23" s="20"/>
      <c r="D23" s="16" t="s">
        <v>13</v>
      </c>
      <c r="E23" s="16" t="s">
        <v>13</v>
      </c>
      <c r="F23" s="86" t="str">
        <f t="shared" ref="F23:I23" si="2">+F8</f>
        <v>£</v>
      </c>
      <c r="G23" s="86" t="s">
        <v>13</v>
      </c>
      <c r="H23" s="73" t="str">
        <f t="shared" ref="H23" si="3">+H8</f>
        <v>£</v>
      </c>
      <c r="I23" s="180" t="str">
        <f t="shared" si="2"/>
        <v>£</v>
      </c>
    </row>
    <row r="24" spans="2:9" x14ac:dyDescent="0.3">
      <c r="B24" s="8"/>
      <c r="C24" s="2" t="s">
        <v>3</v>
      </c>
      <c r="D24" s="65">
        <f>Personnel!D46</f>
        <v>694832.64999999991</v>
      </c>
      <c r="E24" s="65">
        <f>Personnel!E46</f>
        <v>656927</v>
      </c>
      <c r="F24" s="58">
        <v>720902</v>
      </c>
      <c r="G24" s="58">
        <f>Personnel!G46</f>
        <v>693633</v>
      </c>
      <c r="H24" s="71">
        <f>Personnel!H46</f>
        <v>783517</v>
      </c>
      <c r="I24" s="118">
        <f>Personnel!I46</f>
        <v>962891.22007142834</v>
      </c>
    </row>
    <row r="25" spans="2:9" x14ac:dyDescent="0.3">
      <c r="B25" s="8"/>
      <c r="C25" s="2" t="s">
        <v>176</v>
      </c>
      <c r="D25" s="65">
        <f>'V&amp;C'!D41</f>
        <v>84495.750000000015</v>
      </c>
      <c r="E25" s="65">
        <f>'V&amp;C'!E41</f>
        <v>60631</v>
      </c>
      <c r="F25" s="58">
        <f>'V&amp;C'!F41-1</f>
        <v>9871.5499999999993</v>
      </c>
      <c r="G25" s="58">
        <f>'V&amp;C'!G41</f>
        <v>55780</v>
      </c>
      <c r="H25" s="71">
        <f>'V&amp;C'!H41</f>
        <v>38350</v>
      </c>
      <c r="I25" s="118">
        <f>'V&amp;C'!I41</f>
        <v>56250</v>
      </c>
    </row>
    <row r="26" spans="2:9" x14ac:dyDescent="0.3">
      <c r="B26" s="11"/>
      <c r="C26" s="2" t="s">
        <v>177</v>
      </c>
      <c r="D26" s="65">
        <f>'Heritage Town Events'!D23</f>
        <v>13421.43</v>
      </c>
      <c r="E26" s="65">
        <f>'Heritage Town Events'!E23</f>
        <v>8531</v>
      </c>
      <c r="F26" s="58">
        <f>'Heritage Town Events'!F23</f>
        <v>910.31</v>
      </c>
      <c r="G26" s="58">
        <f>'Heritage Town Events'!G23</f>
        <v>4748</v>
      </c>
      <c r="H26" s="71">
        <f>'Heritage Town Events'!H23</f>
        <v>23889</v>
      </c>
      <c r="I26" s="118">
        <f>'Heritage Town Events'!I23</f>
        <v>23889</v>
      </c>
    </row>
    <row r="27" spans="2:9" x14ac:dyDescent="0.3">
      <c r="B27" s="8"/>
      <c r="C27" s="2" t="s">
        <v>178</v>
      </c>
      <c r="D27" s="65">
        <f>Amenities!D59</f>
        <v>216634.05</v>
      </c>
      <c r="E27" s="65">
        <f>Amenities!E59</f>
        <v>160359</v>
      </c>
      <c r="F27" s="58">
        <f>Amenities!F59</f>
        <v>165629.93999999997</v>
      </c>
      <c r="G27" s="58">
        <f>Amenities!G59</f>
        <v>139432</v>
      </c>
      <c r="H27" s="71">
        <f>Amenities!H59</f>
        <v>166848</v>
      </c>
      <c r="I27" s="118">
        <f>Amenities!I59</f>
        <v>196499</v>
      </c>
    </row>
    <row r="28" spans="2:9" x14ac:dyDescent="0.3">
      <c r="B28" s="8"/>
      <c r="C28" s="2" t="s">
        <v>85</v>
      </c>
      <c r="D28" s="65">
        <f>Cemetery!D30</f>
        <v>52468.04</v>
      </c>
      <c r="E28" s="65">
        <f>Cemetery!E30</f>
        <v>34169</v>
      </c>
      <c r="F28" s="58">
        <f>Cemetery!F30</f>
        <v>22483.96</v>
      </c>
      <c r="G28" s="58">
        <f>Cemetery!G30</f>
        <v>22666</v>
      </c>
      <c r="H28" s="71">
        <f>Cemetery!H30</f>
        <v>33200</v>
      </c>
      <c r="I28" s="118">
        <f>Cemetery!I30</f>
        <v>24743</v>
      </c>
    </row>
    <row r="29" spans="2:9" x14ac:dyDescent="0.3">
      <c r="B29" s="8"/>
      <c r="C29" s="2" t="s">
        <v>86</v>
      </c>
      <c r="D29" s="65">
        <f>Allotments!D32</f>
        <v>13902.21</v>
      </c>
      <c r="E29" s="65">
        <f>Allotments!E32</f>
        <v>6959</v>
      </c>
      <c r="F29" s="65">
        <v>7388</v>
      </c>
      <c r="G29" s="65">
        <f>Allotments!G32</f>
        <v>4879</v>
      </c>
      <c r="H29" s="151">
        <f>Allotments!H32</f>
        <v>8448</v>
      </c>
      <c r="I29" s="126">
        <f>Allotments!I32</f>
        <v>9460</v>
      </c>
    </row>
    <row r="30" spans="2:9" x14ac:dyDescent="0.3">
      <c r="B30" s="8"/>
      <c r="C30" s="2" t="s">
        <v>87</v>
      </c>
      <c r="D30" s="65">
        <f>'Rates Precept and Other'!D30</f>
        <v>133239.44</v>
      </c>
      <c r="E30" s="65">
        <v>4165</v>
      </c>
      <c r="F30" s="58">
        <f>'Rates Precept and Other'!F30+1</f>
        <v>26253.27</v>
      </c>
      <c r="G30" s="58">
        <f>'Rates Precept and Other'!G30+1</f>
        <v>427</v>
      </c>
      <c r="H30" s="71">
        <f>'Rates Precept and Other'!H30</f>
        <v>3153</v>
      </c>
      <c r="I30" s="118">
        <f>'Rates Precept and Other'!I30</f>
        <v>2500</v>
      </c>
    </row>
    <row r="31" spans="2:9" x14ac:dyDescent="0.3">
      <c r="B31" s="8"/>
      <c r="C31" s="2" t="s">
        <v>141</v>
      </c>
      <c r="D31" s="65">
        <f>'Contributions to Reserves'!D40</f>
        <v>145406</v>
      </c>
      <c r="E31" s="65">
        <f>'Contributions to Reserves'!E40</f>
        <v>192467</v>
      </c>
      <c r="F31" s="58">
        <v>106670</v>
      </c>
      <c r="G31" s="58">
        <f>'Contributions to Reserves'!G40</f>
        <v>90933</v>
      </c>
      <c r="H31" s="71">
        <f>'Contributions to Reserves'!H40</f>
        <v>94000</v>
      </c>
      <c r="I31" s="118">
        <f>'Contributions to Reserves'!I40</f>
        <v>102209</v>
      </c>
    </row>
    <row r="32" spans="2:9" x14ac:dyDescent="0.3">
      <c r="B32" s="8"/>
      <c r="C32" s="2" t="s">
        <v>198</v>
      </c>
      <c r="D32" s="65"/>
      <c r="E32" s="65"/>
      <c r="F32" s="58"/>
      <c r="G32" s="58">
        <v>80000</v>
      </c>
      <c r="H32" s="71"/>
      <c r="I32" s="118"/>
    </row>
    <row r="33" spans="2:12" x14ac:dyDescent="0.3">
      <c r="B33" s="8"/>
      <c r="C33" s="9"/>
      <c r="D33" s="87"/>
      <c r="E33" s="87"/>
      <c r="F33" s="21"/>
      <c r="G33" s="21"/>
      <c r="H33" s="74"/>
      <c r="I33" s="128"/>
    </row>
    <row r="34" spans="2:12" x14ac:dyDescent="0.3">
      <c r="B34" s="14" t="s">
        <v>15</v>
      </c>
      <c r="C34" s="111"/>
      <c r="D34" s="112">
        <f>SUM(D24:D33)</f>
        <v>1354399.5699999998</v>
      </c>
      <c r="E34" s="112">
        <f t="shared" ref="E34:F34" si="4">SUM(E24:E33)</f>
        <v>1124208</v>
      </c>
      <c r="F34" s="112">
        <f t="shared" si="4"/>
        <v>1060109.03</v>
      </c>
      <c r="G34" s="112">
        <f>SUM(G24:G33)</f>
        <v>1092498</v>
      </c>
      <c r="H34" s="113">
        <f>SUM(H24:H33)</f>
        <v>1151405</v>
      </c>
      <c r="I34" s="153">
        <f>SUM(I24:I33)</f>
        <v>1378441.2200714285</v>
      </c>
    </row>
    <row r="35" spans="2:12" x14ac:dyDescent="0.3">
      <c r="B35" s="107"/>
      <c r="C35" s="108"/>
      <c r="D35" s="108"/>
      <c r="E35" s="108"/>
      <c r="F35" s="108"/>
      <c r="G35" s="108"/>
      <c r="H35" s="108"/>
      <c r="I35" s="108"/>
    </row>
    <row r="36" spans="2:12" x14ac:dyDescent="0.3">
      <c r="B36" s="244" t="s">
        <v>154</v>
      </c>
      <c r="C36" s="245"/>
      <c r="D36" s="168">
        <f>+D19-D34</f>
        <v>14343.490000000224</v>
      </c>
      <c r="E36" s="168">
        <f>E19-E34</f>
        <v>55497</v>
      </c>
      <c r="F36" s="168">
        <f>F19-F34</f>
        <v>-31772.537000000011</v>
      </c>
      <c r="G36" s="168">
        <f>G19-G34</f>
        <v>6710</v>
      </c>
      <c r="H36" s="170">
        <f>ROUND(+H19-H34,0)</f>
        <v>0</v>
      </c>
      <c r="I36" s="169">
        <f>ROUND(+I19-I34,0)</f>
        <v>0</v>
      </c>
    </row>
    <row r="37" spans="2:12" x14ac:dyDescent="0.3">
      <c r="B37" s="106"/>
      <c r="C37" s="45"/>
      <c r="D37" s="171"/>
      <c r="E37" s="171"/>
      <c r="F37" s="171"/>
      <c r="G37" s="171"/>
      <c r="H37" s="171"/>
      <c r="I37" s="172"/>
    </row>
    <row r="38" spans="2:12" x14ac:dyDescent="0.3">
      <c r="B38" s="12" t="s">
        <v>155</v>
      </c>
      <c r="C38" s="22"/>
      <c r="D38" s="173">
        <v>14218</v>
      </c>
      <c r="E38" s="173">
        <v>55497</v>
      </c>
      <c r="F38" s="173">
        <v>-31773</v>
      </c>
      <c r="G38" s="173">
        <v>6710</v>
      </c>
      <c r="H38" s="175">
        <v>0</v>
      </c>
      <c r="I38" s="174">
        <v>0</v>
      </c>
    </row>
    <row r="39" spans="2:12" x14ac:dyDescent="0.3">
      <c r="B39" s="114"/>
      <c r="D39" s="176"/>
      <c r="E39" s="195"/>
      <c r="F39" s="195"/>
      <c r="G39" s="195"/>
      <c r="H39" s="196"/>
      <c r="I39" s="196"/>
    </row>
    <row r="40" spans="2:12" x14ac:dyDescent="0.3">
      <c r="C40" s="192" t="s">
        <v>227</v>
      </c>
      <c r="D40" s="192">
        <v>4.75</v>
      </c>
      <c r="E40" s="197">
        <f t="shared" ref="E40:G40" si="5">(E15-D15)/D15*100</f>
        <v>1.0304376231572514</v>
      </c>
      <c r="F40" s="197">
        <f t="shared" si="5"/>
        <v>5.6203594453824239</v>
      </c>
      <c r="G40" s="197">
        <f t="shared" si="5"/>
        <v>-0.15528486997052304</v>
      </c>
      <c r="H40" s="197">
        <f>(H15-G15)/G15*100</f>
        <v>3.0132308688954659</v>
      </c>
      <c r="I40" s="197">
        <f>(I15-H15)/H15*100</f>
        <v>22.90171247385204</v>
      </c>
    </row>
    <row r="41" spans="2:12" x14ac:dyDescent="0.3">
      <c r="I41" s="63"/>
    </row>
    <row r="42" spans="2:12" x14ac:dyDescent="0.3">
      <c r="C42" s="192" t="s">
        <v>223</v>
      </c>
      <c r="D42" s="197">
        <v>6326.3</v>
      </c>
      <c r="E42" s="197">
        <v>6391.5</v>
      </c>
      <c r="F42" s="197">
        <v>6464.2</v>
      </c>
      <c r="G42" s="197">
        <v>6454.4</v>
      </c>
      <c r="H42" s="197">
        <v>6466.3</v>
      </c>
      <c r="I42" s="197">
        <v>6622.6</v>
      </c>
      <c r="L42" s="133">
        <f>(I42-H42)/H42 *100</f>
        <v>2.4171473640257979</v>
      </c>
    </row>
    <row r="43" spans="2:12" x14ac:dyDescent="0.3">
      <c r="C43" s="192"/>
      <c r="I43" s="63"/>
    </row>
    <row r="44" spans="2:12" x14ac:dyDescent="0.3">
      <c r="C44" s="192" t="s">
        <v>226</v>
      </c>
      <c r="D44" s="192">
        <v>120.01</v>
      </c>
      <c r="E44" s="192">
        <v>120.01</v>
      </c>
      <c r="F44" s="192">
        <v>125.32</v>
      </c>
      <c r="G44" s="192">
        <v>125.32</v>
      </c>
      <c r="H44" s="192">
        <v>128.86000000000001</v>
      </c>
      <c r="I44" s="197">
        <f>I15/I42</f>
        <v>154.63186663848035</v>
      </c>
    </row>
    <row r="45" spans="2:12" x14ac:dyDescent="0.3">
      <c r="C45" s="192"/>
      <c r="D45" s="192"/>
      <c r="E45" s="192"/>
      <c r="F45" s="192"/>
      <c r="G45" s="192"/>
      <c r="H45" s="192"/>
      <c r="I45" s="193"/>
    </row>
    <row r="46" spans="2:12" x14ac:dyDescent="0.3">
      <c r="C46" s="192" t="s">
        <v>225</v>
      </c>
      <c r="D46" s="192">
        <v>3.37</v>
      </c>
      <c r="E46" s="192">
        <v>0</v>
      </c>
      <c r="F46" s="192">
        <v>4.42</v>
      </c>
      <c r="G46" s="192">
        <v>0</v>
      </c>
      <c r="H46" s="192">
        <v>2.82</v>
      </c>
      <c r="I46" s="197">
        <f>(I44-H44)/H44*100</f>
        <v>19.999896506658647</v>
      </c>
    </row>
    <row r="49" spans="9:9" x14ac:dyDescent="0.3">
      <c r="I49" s="133"/>
    </row>
    <row r="51" spans="9:9" x14ac:dyDescent="0.3">
      <c r="I51" s="133"/>
    </row>
  </sheetData>
  <mergeCells count="6">
    <mergeCell ref="B36:C36"/>
    <mergeCell ref="B20:I20"/>
    <mergeCell ref="B2:I2"/>
    <mergeCell ref="B3:I3"/>
    <mergeCell ref="B4:I4"/>
    <mergeCell ref="B5:I5"/>
  </mergeCells>
  <pageMargins left="0.7" right="0.7" top="0.75" bottom="0.75" header="0.3" footer="0.3"/>
  <pageSetup paperSize="9" scale="8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3DB31-1D6B-4121-9C51-2B51A7C56ACB}">
  <sheetPr>
    <pageSetUpPr fitToPage="1"/>
  </sheetPr>
  <dimension ref="B2:I49"/>
  <sheetViews>
    <sheetView workbookViewId="0">
      <selection activeCell="Q20" sqref="Q20"/>
    </sheetView>
  </sheetViews>
  <sheetFormatPr defaultRowHeight="14.4" x14ac:dyDescent="0.3"/>
  <cols>
    <col min="1" max="1" width="2.33203125" customWidth="1"/>
    <col min="2" max="2" width="7.109375" customWidth="1"/>
    <col min="3" max="3" width="27" customWidth="1"/>
    <col min="4" max="9" width="10.6640625" customWidth="1"/>
    <col min="10" max="10" width="2.44140625" customWidth="1"/>
  </cols>
  <sheetData>
    <row r="2" spans="2:9" ht="18" x14ac:dyDescent="0.35">
      <c r="B2" s="249" t="s">
        <v>1</v>
      </c>
      <c r="C2" s="250"/>
      <c r="D2" s="250"/>
      <c r="E2" s="250"/>
      <c r="F2" s="250"/>
      <c r="G2" s="250"/>
      <c r="H2" s="250"/>
      <c r="I2" s="251"/>
    </row>
    <row r="3" spans="2:9" ht="18" x14ac:dyDescent="0.35">
      <c r="B3" s="252" t="s">
        <v>224</v>
      </c>
      <c r="C3" s="253"/>
      <c r="D3" s="253"/>
      <c r="E3" s="253"/>
      <c r="F3" s="253"/>
      <c r="G3" s="253"/>
      <c r="H3" s="253"/>
      <c r="I3" s="254"/>
    </row>
    <row r="4" spans="2:9" ht="18" x14ac:dyDescent="0.35">
      <c r="B4" s="255" t="s">
        <v>213</v>
      </c>
      <c r="C4" s="256"/>
      <c r="D4" s="256"/>
      <c r="E4" s="256"/>
      <c r="F4" s="256"/>
      <c r="G4" s="256"/>
      <c r="H4" s="256"/>
      <c r="I4" s="257"/>
    </row>
    <row r="5" spans="2:9" ht="15.6" x14ac:dyDescent="0.3">
      <c r="B5" s="258" t="s">
        <v>2</v>
      </c>
      <c r="C5" s="263"/>
      <c r="D5" s="263"/>
      <c r="E5" s="263"/>
      <c r="F5" s="263"/>
      <c r="G5" s="263"/>
      <c r="H5" s="263"/>
      <c r="I5" s="264"/>
    </row>
    <row r="6" spans="2:9" x14ac:dyDescent="0.3">
      <c r="B6" s="1" t="s">
        <v>3</v>
      </c>
      <c r="C6" s="2"/>
      <c r="D6" s="16" t="s">
        <v>4</v>
      </c>
      <c r="E6" s="16" t="s">
        <v>5</v>
      </c>
      <c r="F6" s="16" t="s">
        <v>6</v>
      </c>
      <c r="G6" s="16" t="s">
        <v>7</v>
      </c>
      <c r="H6" s="68" t="s">
        <v>8</v>
      </c>
      <c r="I6" s="134" t="s">
        <v>214</v>
      </c>
    </row>
    <row r="7" spans="2:9" ht="28.8" x14ac:dyDescent="0.3">
      <c r="B7" s="4" t="s">
        <v>9</v>
      </c>
      <c r="C7" s="5" t="s">
        <v>10</v>
      </c>
      <c r="D7" s="85" t="s">
        <v>11</v>
      </c>
      <c r="E7" s="85" t="s">
        <v>11</v>
      </c>
      <c r="F7" s="85" t="s">
        <v>11</v>
      </c>
      <c r="G7" s="85" t="s">
        <v>11</v>
      </c>
      <c r="H7" s="177" t="s">
        <v>192</v>
      </c>
      <c r="I7" s="178" t="s">
        <v>215</v>
      </c>
    </row>
    <row r="8" spans="2:9" x14ac:dyDescent="0.3">
      <c r="B8" s="1"/>
      <c r="C8" s="5"/>
      <c r="D8" s="29" t="s">
        <v>13</v>
      </c>
      <c r="E8" s="125" t="s">
        <v>13</v>
      </c>
      <c r="F8" s="29" t="s">
        <v>13</v>
      </c>
      <c r="G8" s="29" t="s">
        <v>13</v>
      </c>
      <c r="H8" s="70" t="s">
        <v>13</v>
      </c>
      <c r="I8" s="129" t="s">
        <v>13</v>
      </c>
    </row>
    <row r="9" spans="2:9" x14ac:dyDescent="0.3">
      <c r="B9" s="11">
        <v>4100</v>
      </c>
      <c r="C9" s="2" t="s">
        <v>14</v>
      </c>
      <c r="D9" s="65">
        <f>9000+3744</f>
        <v>12744</v>
      </c>
      <c r="E9" s="55">
        <v>9000</v>
      </c>
      <c r="F9" s="65">
        <v>2487.5</v>
      </c>
      <c r="G9" s="65">
        <v>6000</v>
      </c>
      <c r="H9" s="71">
        <v>6000</v>
      </c>
      <c r="I9" s="191">
        <v>6000</v>
      </c>
    </row>
    <row r="10" spans="2:9" x14ac:dyDescent="0.3">
      <c r="B10" s="8">
        <v>4102</v>
      </c>
      <c r="C10" s="9" t="s">
        <v>77</v>
      </c>
      <c r="D10" s="66">
        <f>7162.5+11000+14250+3900+6750+4185.3+5831.25+7200+226.8+1042.42+3850</f>
        <v>65398.270000000004</v>
      </c>
      <c r="E10" s="55">
        <v>69995</v>
      </c>
      <c r="F10" s="66">
        <v>63379.79</v>
      </c>
      <c r="G10" s="66">
        <v>49631</v>
      </c>
      <c r="H10" s="71">
        <v>62000</v>
      </c>
      <c r="I10" s="191">
        <v>79581</v>
      </c>
    </row>
    <row r="11" spans="2:9" x14ac:dyDescent="0.3">
      <c r="B11" s="12" t="s">
        <v>15</v>
      </c>
      <c r="C11" s="13"/>
      <c r="D11" s="53">
        <f t="shared" ref="D11:I11" si="0">SUM(D9:D10)</f>
        <v>78142.27</v>
      </c>
      <c r="E11" s="53">
        <f t="shared" si="0"/>
        <v>78995</v>
      </c>
      <c r="F11" s="53">
        <f t="shared" si="0"/>
        <v>65867.290000000008</v>
      </c>
      <c r="G11" s="53">
        <f>SUM(G9:G10)</f>
        <v>55631</v>
      </c>
      <c r="H11" s="72">
        <f t="shared" ref="H11" si="1">SUM(H9:H10)</f>
        <v>68000</v>
      </c>
      <c r="I11" s="120">
        <f t="shared" si="0"/>
        <v>85581</v>
      </c>
    </row>
    <row r="12" spans="2:9" ht="15.6" x14ac:dyDescent="0.3">
      <c r="B12" s="246" t="s">
        <v>16</v>
      </c>
      <c r="C12" s="261"/>
      <c r="D12" s="261"/>
      <c r="E12" s="261"/>
      <c r="F12" s="261"/>
      <c r="G12" s="261"/>
      <c r="H12" s="261"/>
      <c r="I12" s="262"/>
    </row>
    <row r="13" spans="2:9" x14ac:dyDescent="0.3">
      <c r="B13" s="14" t="str">
        <f>+B6</f>
        <v>Personnel</v>
      </c>
      <c r="C13" s="15"/>
      <c r="D13" s="16" t="s">
        <v>4</v>
      </c>
      <c r="E13" s="16" t="s">
        <v>5</v>
      </c>
      <c r="F13" s="16" t="s">
        <v>6</v>
      </c>
      <c r="G13" s="16" t="s">
        <v>7</v>
      </c>
      <c r="H13" s="68" t="s">
        <v>8</v>
      </c>
      <c r="I13" s="134" t="s">
        <v>214</v>
      </c>
    </row>
    <row r="14" spans="2:9" ht="28.8" x14ac:dyDescent="0.3">
      <c r="B14" s="17" t="str">
        <f>+B7</f>
        <v>N/C</v>
      </c>
      <c r="C14" s="18" t="str">
        <f>+C7</f>
        <v>NAME</v>
      </c>
      <c r="D14" s="85" t="s">
        <v>11</v>
      </c>
      <c r="E14" s="85" t="s">
        <v>11</v>
      </c>
      <c r="F14" s="85" t="s">
        <v>11</v>
      </c>
      <c r="G14" s="85" t="s">
        <v>11</v>
      </c>
      <c r="H14" s="177" t="s">
        <v>192</v>
      </c>
      <c r="I14" s="178" t="s">
        <v>215</v>
      </c>
    </row>
    <row r="15" spans="2:9" x14ac:dyDescent="0.3">
      <c r="B15" s="19"/>
      <c r="C15" s="20"/>
      <c r="D15" s="16" t="s">
        <v>13</v>
      </c>
      <c r="E15" s="16" t="str">
        <f>+E8</f>
        <v>£</v>
      </c>
      <c r="F15" s="16" t="str">
        <f>+F8</f>
        <v>£</v>
      </c>
      <c r="G15" s="16" t="s">
        <v>13</v>
      </c>
      <c r="H15" s="73" t="str">
        <f>+H8</f>
        <v>£</v>
      </c>
      <c r="I15" s="180" t="str">
        <f>+I8</f>
        <v>£</v>
      </c>
    </row>
    <row r="16" spans="2:9" x14ac:dyDescent="0.3">
      <c r="B16" s="8">
        <v>5100</v>
      </c>
      <c r="C16" s="9" t="s">
        <v>17</v>
      </c>
      <c r="D16" s="65">
        <f>153742.17+20428.72+26583.94+112304.55+3769.5+20475.73+6488.63+49340.02+54465.56+2984.86+33046.21+3052.68+5741.97</f>
        <v>492424.54</v>
      </c>
      <c r="E16" s="65">
        <v>501679</v>
      </c>
      <c r="F16" s="65">
        <v>495334.93</v>
      </c>
      <c r="G16" s="65">
        <v>507904</v>
      </c>
      <c r="H16" s="71">
        <v>584207</v>
      </c>
      <c r="I16" s="118">
        <f>725247.4515-30000</f>
        <v>695247.45149999997</v>
      </c>
    </row>
    <row r="17" spans="2:9" x14ac:dyDescent="0.3">
      <c r="B17" s="8">
        <v>5105</v>
      </c>
      <c r="C17" s="9" t="s">
        <v>18</v>
      </c>
      <c r="D17" s="65">
        <v>3000</v>
      </c>
      <c r="E17" s="65">
        <v>-3000</v>
      </c>
      <c r="F17" s="65"/>
      <c r="G17" s="65"/>
      <c r="H17" s="71">
        <v>0</v>
      </c>
      <c r="I17" s="118">
        <v>0</v>
      </c>
    </row>
    <row r="18" spans="2:9" x14ac:dyDescent="0.3">
      <c r="B18" s="11">
        <v>5110</v>
      </c>
      <c r="C18" s="2" t="s">
        <v>19</v>
      </c>
      <c r="D18" s="65">
        <v>5791.07</v>
      </c>
      <c r="E18" s="65">
        <v>2492</v>
      </c>
      <c r="F18" s="65">
        <v>1616.5</v>
      </c>
      <c r="G18" s="65">
        <v>3101</v>
      </c>
      <c r="H18" s="71">
        <v>5500</v>
      </c>
      <c r="I18" s="118">
        <v>3400</v>
      </c>
    </row>
    <row r="19" spans="2:9" x14ac:dyDescent="0.3">
      <c r="B19" s="8">
        <v>5115</v>
      </c>
      <c r="C19" s="9" t="s">
        <v>20</v>
      </c>
      <c r="D19" s="65"/>
      <c r="E19" s="65">
        <v>-22</v>
      </c>
      <c r="F19" s="65"/>
      <c r="G19" s="65">
        <v>175</v>
      </c>
      <c r="H19" s="71">
        <v>0</v>
      </c>
      <c r="I19" s="118">
        <v>0</v>
      </c>
    </row>
    <row r="20" spans="2:9" x14ac:dyDescent="0.3">
      <c r="B20" s="8">
        <v>5120</v>
      </c>
      <c r="C20" s="9" t="s">
        <v>21</v>
      </c>
      <c r="D20" s="65">
        <v>5627.13</v>
      </c>
      <c r="E20" s="65">
        <v>5984</v>
      </c>
      <c r="F20" s="65">
        <v>7033.15</v>
      </c>
      <c r="G20" s="65">
        <v>12018</v>
      </c>
      <c r="H20" s="71">
        <v>8700</v>
      </c>
      <c r="I20" s="118">
        <v>8150</v>
      </c>
    </row>
    <row r="21" spans="2:9" x14ac:dyDescent="0.3">
      <c r="B21" s="8">
        <v>5122</v>
      </c>
      <c r="C21" s="9" t="s">
        <v>22</v>
      </c>
      <c r="D21" s="65">
        <f>801.05+21308.34+6809.97</f>
        <v>28919.360000000001</v>
      </c>
      <c r="E21" s="65">
        <v>15929</v>
      </c>
      <c r="F21" s="65">
        <v>-24.47</v>
      </c>
      <c r="G21" s="65">
        <v>10000</v>
      </c>
      <c r="H21" s="71">
        <v>10000</v>
      </c>
      <c r="I21" s="118">
        <v>10000</v>
      </c>
    </row>
    <row r="22" spans="2:9" x14ac:dyDescent="0.3">
      <c r="B22" s="8">
        <v>5124</v>
      </c>
      <c r="C22" s="9" t="s">
        <v>23</v>
      </c>
      <c r="D22" s="65">
        <f>4419.48+25882.5+4265.36+1092+2272+10200</f>
        <v>48131.34</v>
      </c>
      <c r="E22" s="65">
        <v>31389</v>
      </c>
      <c r="F22" s="65">
        <v>47739.21</v>
      </c>
      <c r="G22" s="65">
        <v>43217</v>
      </c>
      <c r="H22" s="71">
        <v>44936</v>
      </c>
      <c r="I22" s="118">
        <v>58845.5</v>
      </c>
    </row>
    <row r="23" spans="2:9" x14ac:dyDescent="0.3">
      <c r="B23" s="8">
        <v>5125</v>
      </c>
      <c r="C23" s="9" t="s">
        <v>24</v>
      </c>
      <c r="D23" s="65">
        <f>179.55+816.85+3960.55</f>
        <v>4956.9500000000007</v>
      </c>
      <c r="E23" s="65">
        <v>3440</v>
      </c>
      <c r="F23" s="65">
        <v>1356.12</v>
      </c>
      <c r="G23" s="65">
        <v>2209</v>
      </c>
      <c r="H23" s="71">
        <v>2250</v>
      </c>
      <c r="I23" s="118">
        <v>2312</v>
      </c>
    </row>
    <row r="24" spans="2:9" x14ac:dyDescent="0.3">
      <c r="B24" s="8">
        <v>5126</v>
      </c>
      <c r="C24" s="9" t="s">
        <v>195</v>
      </c>
      <c r="D24" s="65">
        <f>283.88+1278.26+1946.17+216.34+556.77+745.7</f>
        <v>5027.12</v>
      </c>
      <c r="E24" s="65">
        <v>3753</v>
      </c>
      <c r="F24" s="65">
        <v>8846.15</v>
      </c>
      <c r="G24" s="65">
        <v>5262</v>
      </c>
      <c r="H24" s="71">
        <v>6500</v>
      </c>
      <c r="I24" s="118">
        <v>17178.98</v>
      </c>
    </row>
    <row r="25" spans="2:9" x14ac:dyDescent="0.3">
      <c r="B25" s="8">
        <v>5130</v>
      </c>
      <c r="C25" s="9" t="s">
        <v>25</v>
      </c>
      <c r="D25" s="65">
        <f>9375.76+273.65+957.94</f>
        <v>10607.35</v>
      </c>
      <c r="E25" s="65">
        <v>10299</v>
      </c>
      <c r="F25" s="65">
        <v>14278.36</v>
      </c>
      <c r="G25" s="65">
        <v>16242</v>
      </c>
      <c r="H25" s="71">
        <v>17000</v>
      </c>
      <c r="I25" s="118">
        <v>55219.4</v>
      </c>
    </row>
    <row r="26" spans="2:9" x14ac:dyDescent="0.3">
      <c r="B26" s="8">
        <v>5132</v>
      </c>
      <c r="C26" s="9" t="s">
        <v>26</v>
      </c>
      <c r="D26" s="65">
        <f>732.06</f>
        <v>732.06</v>
      </c>
      <c r="E26" s="65">
        <v>268</v>
      </c>
      <c r="F26" s="65">
        <v>3326.54</v>
      </c>
      <c r="G26" s="65">
        <v>5649</v>
      </c>
      <c r="H26" s="71">
        <v>8000</v>
      </c>
      <c r="I26" s="118">
        <v>19206.599999999999</v>
      </c>
    </row>
    <row r="27" spans="2:9" x14ac:dyDescent="0.3">
      <c r="B27" s="8">
        <v>5134</v>
      </c>
      <c r="C27" s="9" t="s">
        <v>27</v>
      </c>
      <c r="D27" s="65">
        <f>5869.18</f>
        <v>5869.18</v>
      </c>
      <c r="E27" s="65">
        <v>3700</v>
      </c>
      <c r="F27" s="65">
        <v>1071.3900000000001</v>
      </c>
      <c r="G27" s="65">
        <v>5557</v>
      </c>
      <c r="H27" s="71">
        <v>3500</v>
      </c>
      <c r="I27" s="118">
        <v>10250.58</v>
      </c>
    </row>
    <row r="28" spans="2:9" x14ac:dyDescent="0.3">
      <c r="B28" s="8">
        <v>5136</v>
      </c>
      <c r="C28" s="9" t="s">
        <v>28</v>
      </c>
      <c r="D28" s="65">
        <f>3050.97+1438.8+1323.6+6645.94</f>
        <v>12459.309999999998</v>
      </c>
      <c r="E28" s="65">
        <v>11557</v>
      </c>
      <c r="F28" s="65">
        <v>11813.28</v>
      </c>
      <c r="G28" s="65">
        <v>11339</v>
      </c>
      <c r="H28" s="71">
        <v>9750</v>
      </c>
      <c r="I28" s="118">
        <v>11900</v>
      </c>
    </row>
    <row r="29" spans="2:9" x14ac:dyDescent="0.3">
      <c r="B29" s="8">
        <v>5138</v>
      </c>
      <c r="C29" s="9" t="s">
        <v>194</v>
      </c>
      <c r="D29" s="65"/>
      <c r="E29" s="65"/>
      <c r="F29" s="65"/>
      <c r="G29" s="65">
        <v>4891</v>
      </c>
      <c r="H29" s="71"/>
      <c r="I29" s="118">
        <v>0</v>
      </c>
    </row>
    <row r="30" spans="2:9" x14ac:dyDescent="0.3">
      <c r="B30" s="8">
        <v>5150</v>
      </c>
      <c r="C30" s="9" t="s">
        <v>29</v>
      </c>
      <c r="D30" s="65">
        <f>63.75+2561.95+1349.73+6946.46+779.15+11.96+697.25+774.52+48.92+35.58+4168.21</f>
        <v>17437.48</v>
      </c>
      <c r="E30" s="65">
        <v>15732</v>
      </c>
      <c r="F30" s="65">
        <v>13356.33</v>
      </c>
      <c r="G30" s="65">
        <v>13261</v>
      </c>
      <c r="H30" s="71">
        <v>9500</v>
      </c>
      <c r="I30" s="118">
        <v>7194.8742857142861</v>
      </c>
    </row>
    <row r="31" spans="2:9" x14ac:dyDescent="0.3">
      <c r="B31" s="8">
        <v>5152</v>
      </c>
      <c r="C31" s="9" t="s">
        <v>30</v>
      </c>
      <c r="D31" s="65">
        <f>594.3</f>
        <v>594.29999999999995</v>
      </c>
      <c r="E31" s="65">
        <v>244</v>
      </c>
      <c r="F31" s="65"/>
      <c r="G31" s="65">
        <v>0</v>
      </c>
      <c r="H31" s="71">
        <v>150</v>
      </c>
      <c r="I31" s="118">
        <v>120</v>
      </c>
    </row>
    <row r="32" spans="2:9" x14ac:dyDescent="0.3">
      <c r="B32" s="8">
        <v>5154</v>
      </c>
      <c r="C32" s="9" t="s">
        <v>119</v>
      </c>
      <c r="D32" s="65"/>
      <c r="E32" s="65">
        <v>250</v>
      </c>
      <c r="F32" s="65">
        <f>2282+206</f>
        <v>2488</v>
      </c>
      <c r="G32" s="65">
        <v>7691</v>
      </c>
      <c r="H32" s="71">
        <v>1500</v>
      </c>
      <c r="I32" s="118">
        <v>1500</v>
      </c>
    </row>
    <row r="33" spans="2:9" x14ac:dyDescent="0.3">
      <c r="B33" s="8">
        <v>5156</v>
      </c>
      <c r="C33" s="9" t="s">
        <v>31</v>
      </c>
      <c r="D33" s="65">
        <f>1199.5+1612.93+349.92</f>
        <v>3162.3500000000004</v>
      </c>
      <c r="E33" s="65">
        <v>2411</v>
      </c>
      <c r="F33" s="65">
        <v>2236.08</v>
      </c>
      <c r="G33" s="65">
        <v>4613</v>
      </c>
      <c r="H33" s="71">
        <v>2800</v>
      </c>
      <c r="I33" s="118">
        <v>4491.2</v>
      </c>
    </row>
    <row r="34" spans="2:9" x14ac:dyDescent="0.3">
      <c r="B34" s="8">
        <v>5160</v>
      </c>
      <c r="C34" s="9" t="s">
        <v>32</v>
      </c>
      <c r="D34" s="65">
        <f>2285.53+2753.84+6050.74+70+741+2714.55</f>
        <v>14615.66</v>
      </c>
      <c r="E34" s="65">
        <v>9323</v>
      </c>
      <c r="F34" s="65">
        <v>9898.66</v>
      </c>
      <c r="G34" s="65">
        <v>11285</v>
      </c>
      <c r="H34" s="71">
        <v>13500</v>
      </c>
      <c r="I34" s="118">
        <v>19229.22</v>
      </c>
    </row>
    <row r="35" spans="2:9" x14ac:dyDescent="0.3">
      <c r="B35" s="8">
        <v>5162</v>
      </c>
      <c r="C35" s="9" t="s">
        <v>33</v>
      </c>
      <c r="D35" s="65">
        <f>253.42+6440.04+2847.71+382.42+678.34+579.25+453.84</f>
        <v>11635.02</v>
      </c>
      <c r="E35" s="65">
        <v>3931</v>
      </c>
      <c r="F35" s="65">
        <v>1416.03</v>
      </c>
      <c r="G35" s="65">
        <v>2841</v>
      </c>
      <c r="H35" s="71">
        <v>1000</v>
      </c>
      <c r="I35" s="118">
        <v>5878.0542857142864</v>
      </c>
    </row>
    <row r="36" spans="2:9" x14ac:dyDescent="0.3">
      <c r="B36" s="8">
        <v>5163</v>
      </c>
      <c r="C36" s="9" t="s">
        <v>117</v>
      </c>
      <c r="D36" s="65">
        <v>0</v>
      </c>
      <c r="E36" s="65">
        <v>2400</v>
      </c>
      <c r="F36" s="65">
        <v>11850</v>
      </c>
      <c r="G36" s="65"/>
      <c r="H36" s="71">
        <f>9000+2850</f>
        <v>11850</v>
      </c>
      <c r="I36" s="118">
        <v>0</v>
      </c>
    </row>
    <row r="37" spans="2:9" x14ac:dyDescent="0.3">
      <c r="B37" s="8">
        <v>5170</v>
      </c>
      <c r="C37" s="9" t="s">
        <v>34</v>
      </c>
      <c r="D37" s="65">
        <v>425</v>
      </c>
      <c r="E37" s="65">
        <v>4825</v>
      </c>
      <c r="F37" s="65">
        <v>5250</v>
      </c>
      <c r="G37" s="65">
        <v>4350</v>
      </c>
      <c r="H37" s="71">
        <v>7000</v>
      </c>
      <c r="I37" s="118">
        <v>5000</v>
      </c>
    </row>
    <row r="38" spans="2:9" x14ac:dyDescent="0.3">
      <c r="B38" s="8">
        <v>5172</v>
      </c>
      <c r="C38" s="9" t="s">
        <v>35</v>
      </c>
      <c r="D38" s="65">
        <f>500+6396.7</f>
        <v>6896.7</v>
      </c>
      <c r="E38" s="65">
        <v>12264</v>
      </c>
      <c r="F38" s="65">
        <v>15978</v>
      </c>
      <c r="G38" s="65">
        <v>7947</v>
      </c>
      <c r="H38" s="71">
        <v>15000</v>
      </c>
      <c r="I38" s="118">
        <v>8955.36</v>
      </c>
    </row>
    <row r="39" spans="2:9" x14ac:dyDescent="0.3">
      <c r="B39" s="8">
        <v>5180</v>
      </c>
      <c r="C39" s="9" t="s">
        <v>36</v>
      </c>
      <c r="D39" s="65">
        <f>163+79+783+494+523+1846.57+64+11159.95</f>
        <v>15112.52</v>
      </c>
      <c r="E39" s="65">
        <v>12006</v>
      </c>
      <c r="F39" s="65">
        <v>11587.01</v>
      </c>
      <c r="G39" s="65">
        <v>10117</v>
      </c>
      <c r="H39" s="71">
        <v>15000</v>
      </c>
      <c r="I39" s="118">
        <v>11864</v>
      </c>
    </row>
    <row r="40" spans="2:9" x14ac:dyDescent="0.3">
      <c r="B40" s="8">
        <v>5182</v>
      </c>
      <c r="C40" s="9" t="s">
        <v>121</v>
      </c>
      <c r="D40" s="65"/>
      <c r="E40" s="65"/>
      <c r="F40" s="65">
        <v>2145.02</v>
      </c>
      <c r="G40" s="65">
        <v>1304</v>
      </c>
      <c r="H40" s="71">
        <f>1000+5000</f>
        <v>6000</v>
      </c>
      <c r="I40" s="118">
        <v>3024</v>
      </c>
    </row>
    <row r="41" spans="2:9" x14ac:dyDescent="0.3">
      <c r="B41" s="8">
        <v>5190</v>
      </c>
      <c r="C41" s="9" t="s">
        <v>37</v>
      </c>
      <c r="D41" s="65">
        <f>1408.21</f>
        <v>1408.21</v>
      </c>
      <c r="E41" s="65">
        <v>2409</v>
      </c>
      <c r="F41" s="65">
        <v>1584.8</v>
      </c>
      <c r="G41" s="65">
        <v>1860</v>
      </c>
      <c r="H41" s="71">
        <v>2500</v>
      </c>
      <c r="I41" s="118">
        <v>3024</v>
      </c>
    </row>
    <row r="42" spans="2:9" x14ac:dyDescent="0.3">
      <c r="B42" s="8">
        <v>5195</v>
      </c>
      <c r="C42" s="9" t="s">
        <v>92</v>
      </c>
      <c r="D42" s="65"/>
      <c r="E42" s="65">
        <v>2884</v>
      </c>
      <c r="F42" s="65">
        <v>339.66</v>
      </c>
      <c r="G42" s="65"/>
      <c r="H42" s="71">
        <v>3000</v>
      </c>
      <c r="I42" s="118">
        <v>0</v>
      </c>
    </row>
    <row r="43" spans="2:9" x14ac:dyDescent="0.3">
      <c r="B43" s="8">
        <v>5199</v>
      </c>
      <c r="C43" s="9" t="s">
        <v>118</v>
      </c>
      <c r="D43" s="65"/>
      <c r="E43" s="65">
        <v>780</v>
      </c>
      <c r="F43" s="65">
        <v>760</v>
      </c>
      <c r="G43" s="65">
        <v>800</v>
      </c>
      <c r="H43" s="71"/>
      <c r="I43" s="118">
        <v>900</v>
      </c>
    </row>
    <row r="44" spans="2:9" x14ac:dyDescent="0.3">
      <c r="B44" s="8"/>
      <c r="C44" s="9" t="s">
        <v>162</v>
      </c>
      <c r="D44" s="65"/>
      <c r="E44" s="65"/>
      <c r="F44" s="65">
        <v>50000</v>
      </c>
      <c r="G44" s="65"/>
      <c r="H44" s="71"/>
      <c r="I44" s="118">
        <v>0</v>
      </c>
    </row>
    <row r="45" spans="2:9" x14ac:dyDescent="0.3">
      <c r="B45" s="8"/>
      <c r="C45" s="9" t="s">
        <v>158</v>
      </c>
      <c r="D45" s="44"/>
      <c r="E45" s="44"/>
      <c r="F45" s="44"/>
      <c r="G45" s="44"/>
      <c r="H45" s="71">
        <v>-5626</v>
      </c>
      <c r="I45" s="118">
        <v>0</v>
      </c>
    </row>
    <row r="46" spans="2:9" x14ac:dyDescent="0.3">
      <c r="B46" s="12" t="s">
        <v>15</v>
      </c>
      <c r="C46" s="22"/>
      <c r="D46" s="53">
        <f t="shared" ref="D46:I46" si="2">SUM(D16:D45)</f>
        <v>694832.64999999991</v>
      </c>
      <c r="E46" s="53">
        <f t="shared" si="2"/>
        <v>656927</v>
      </c>
      <c r="F46" s="53">
        <f t="shared" si="2"/>
        <v>721280.75000000023</v>
      </c>
      <c r="G46" s="53">
        <f t="shared" si="2"/>
        <v>693633</v>
      </c>
      <c r="H46" s="72">
        <f t="shared" si="2"/>
        <v>783517</v>
      </c>
      <c r="I46" s="120">
        <f t="shared" si="2"/>
        <v>962891.22007142834</v>
      </c>
    </row>
    <row r="48" spans="2:9" x14ac:dyDescent="0.3">
      <c r="B48" s="23" t="s">
        <v>38</v>
      </c>
      <c r="C48" s="24" t="str">
        <f>+B6</f>
        <v>Personnel</v>
      </c>
      <c r="D48" s="53">
        <f t="shared" ref="D48:I48" si="3">+D11-D46</f>
        <v>-616690.37999999989</v>
      </c>
      <c r="E48" s="53">
        <f t="shared" si="3"/>
        <v>-577932</v>
      </c>
      <c r="F48" s="53">
        <f t="shared" si="3"/>
        <v>-655413.4600000002</v>
      </c>
      <c r="G48" s="53">
        <f t="shared" si="3"/>
        <v>-638002</v>
      </c>
      <c r="H48" s="72">
        <f t="shared" si="3"/>
        <v>-715517</v>
      </c>
      <c r="I48" s="120">
        <f t="shared" si="3"/>
        <v>-877310.22007142834</v>
      </c>
    </row>
    <row r="49" spans="9:9" x14ac:dyDescent="0.3">
      <c r="I49" s="25"/>
    </row>
  </sheetData>
  <mergeCells count="5">
    <mergeCell ref="B2:I2"/>
    <mergeCell ref="B3:I3"/>
    <mergeCell ref="B4:I4"/>
    <mergeCell ref="B12:I12"/>
    <mergeCell ref="B5:I5"/>
  </mergeCells>
  <pageMargins left="0.7" right="0.7" top="0.75" bottom="0.75" header="0.3" footer="0.3"/>
  <pageSetup paperSize="9" scale="84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76160-0BBB-4D8E-A9A3-E680EFBC855F}">
  <sheetPr>
    <pageSetUpPr fitToPage="1"/>
  </sheetPr>
  <dimension ref="B2:I44"/>
  <sheetViews>
    <sheetView workbookViewId="0">
      <selection activeCell="I21" sqref="I21:I22"/>
    </sheetView>
  </sheetViews>
  <sheetFormatPr defaultRowHeight="14.4" x14ac:dyDescent="0.3"/>
  <cols>
    <col min="1" max="1" width="3.109375" customWidth="1"/>
    <col min="2" max="2" width="8.44140625" customWidth="1"/>
    <col min="3" max="3" width="32.109375" customWidth="1"/>
    <col min="4" max="9" width="10.6640625" customWidth="1"/>
    <col min="10" max="10" width="2.6640625" customWidth="1"/>
  </cols>
  <sheetData>
    <row r="2" spans="2:9" ht="18" x14ac:dyDescent="0.35">
      <c r="B2" s="249" t="s">
        <v>1</v>
      </c>
      <c r="C2" s="265"/>
      <c r="D2" s="265"/>
      <c r="E2" s="265"/>
      <c r="F2" s="265"/>
      <c r="G2" s="265"/>
      <c r="H2" s="265"/>
      <c r="I2" s="266"/>
    </row>
    <row r="3" spans="2:9" ht="18" x14ac:dyDescent="0.35">
      <c r="B3" s="252" t="s">
        <v>224</v>
      </c>
      <c r="C3" s="253"/>
      <c r="D3" s="253"/>
      <c r="E3" s="253"/>
      <c r="F3" s="253"/>
      <c r="G3" s="253"/>
      <c r="H3" s="253"/>
      <c r="I3" s="254"/>
    </row>
    <row r="4" spans="2:9" ht="18" x14ac:dyDescent="0.35">
      <c r="B4" s="255" t="s">
        <v>213</v>
      </c>
      <c r="C4" s="256"/>
      <c r="D4" s="256"/>
      <c r="E4" s="256"/>
      <c r="F4" s="256"/>
      <c r="G4" s="256"/>
      <c r="H4" s="256"/>
      <c r="I4" s="257"/>
    </row>
    <row r="5" spans="2:9" ht="15.6" x14ac:dyDescent="0.3">
      <c r="B5" s="258" t="s">
        <v>2</v>
      </c>
      <c r="C5" s="259"/>
      <c r="D5" s="259"/>
      <c r="E5" s="259"/>
      <c r="F5" s="259"/>
      <c r="G5" s="259"/>
      <c r="H5" s="259"/>
      <c r="I5" s="260"/>
    </row>
    <row r="6" spans="2:9" x14ac:dyDescent="0.3">
      <c r="B6" s="1" t="s">
        <v>172</v>
      </c>
      <c r="C6" s="27"/>
      <c r="D6" s="137" t="s">
        <v>4</v>
      </c>
      <c r="E6" s="16" t="s">
        <v>5</v>
      </c>
      <c r="F6" s="16" t="s">
        <v>6</v>
      </c>
      <c r="G6" s="16" t="s">
        <v>7</v>
      </c>
      <c r="H6" s="68" t="s">
        <v>8</v>
      </c>
      <c r="I6" s="134" t="s">
        <v>214</v>
      </c>
    </row>
    <row r="7" spans="2:9" ht="28.8" x14ac:dyDescent="0.3">
      <c r="B7" s="4" t="s">
        <v>9</v>
      </c>
      <c r="C7" s="30" t="s">
        <v>10</v>
      </c>
      <c r="D7" s="31" t="s">
        <v>11</v>
      </c>
      <c r="E7" s="85" t="s">
        <v>11</v>
      </c>
      <c r="F7" s="85" t="s">
        <v>11</v>
      </c>
      <c r="G7" s="85" t="s">
        <v>11</v>
      </c>
      <c r="H7" s="177" t="s">
        <v>192</v>
      </c>
      <c r="I7" s="178" t="s">
        <v>215</v>
      </c>
    </row>
    <row r="8" spans="2:9" x14ac:dyDescent="0.3">
      <c r="B8" s="32"/>
      <c r="C8" s="5"/>
      <c r="D8" s="29" t="s">
        <v>13</v>
      </c>
      <c r="E8" s="40" t="s">
        <v>13</v>
      </c>
      <c r="F8" s="29" t="s">
        <v>13</v>
      </c>
      <c r="G8" s="29" t="s">
        <v>13</v>
      </c>
      <c r="H8" s="75" t="s">
        <v>13</v>
      </c>
      <c r="I8" s="131" t="s">
        <v>13</v>
      </c>
    </row>
    <row r="9" spans="2:9" x14ac:dyDescent="0.3">
      <c r="B9" s="11">
        <v>4200</v>
      </c>
      <c r="C9" s="2" t="s">
        <v>39</v>
      </c>
      <c r="D9" s="60">
        <f>31392.19</f>
        <v>31392.19</v>
      </c>
      <c r="E9" s="55">
        <v>39621</v>
      </c>
      <c r="F9" s="65">
        <v>820.39</v>
      </c>
      <c r="G9" s="65">
        <v>25494</v>
      </c>
      <c r="H9" s="84">
        <v>32000</v>
      </c>
      <c r="I9" s="135">
        <v>42000</v>
      </c>
    </row>
    <row r="10" spans="2:9" x14ac:dyDescent="0.3">
      <c r="B10" s="11">
        <v>4202</v>
      </c>
      <c r="C10" s="2" t="s">
        <v>183</v>
      </c>
      <c r="D10" s="60">
        <f>25954.08+1375.96+14325</f>
        <v>41655.040000000001</v>
      </c>
      <c r="E10" s="55">
        <f>33143+11745</f>
        <v>44888</v>
      </c>
      <c r="F10" s="65">
        <f>4606.34+2025</f>
        <v>6631.34</v>
      </c>
      <c r="G10" s="65">
        <f>423+25386</f>
        <v>25809</v>
      </c>
      <c r="H10" s="84">
        <v>38000</v>
      </c>
      <c r="I10" s="135">
        <v>40000</v>
      </c>
    </row>
    <row r="11" spans="2:9" x14ac:dyDescent="0.3">
      <c r="B11" s="11">
        <v>4206</v>
      </c>
      <c r="C11" s="2" t="s">
        <v>184</v>
      </c>
      <c r="D11" s="60">
        <v>12442.13</v>
      </c>
      <c r="E11" s="55">
        <v>12376</v>
      </c>
      <c r="F11" s="65">
        <v>-224</v>
      </c>
      <c r="G11" s="65">
        <v>9193</v>
      </c>
      <c r="H11" s="84">
        <v>12000</v>
      </c>
      <c r="I11" s="135">
        <v>32000</v>
      </c>
    </row>
    <row r="12" spans="2:9" x14ac:dyDescent="0.3">
      <c r="B12" s="11">
        <v>4208</v>
      </c>
      <c r="C12" s="2" t="s">
        <v>40</v>
      </c>
      <c r="D12" s="60">
        <v>9969.9500000000007</v>
      </c>
      <c r="E12" s="55"/>
      <c r="F12" s="65"/>
      <c r="G12" s="65"/>
      <c r="H12" s="84"/>
      <c r="I12" s="135">
        <v>0</v>
      </c>
    </row>
    <row r="13" spans="2:9" x14ac:dyDescent="0.3">
      <c r="B13" s="11">
        <v>4210</v>
      </c>
      <c r="C13" s="2" t="s">
        <v>41</v>
      </c>
      <c r="D13" s="60">
        <v>11386.16</v>
      </c>
      <c r="E13" s="55">
        <v>5959</v>
      </c>
      <c r="F13" s="65">
        <v>765.57</v>
      </c>
      <c r="G13" s="65">
        <v>4496</v>
      </c>
      <c r="H13" s="84">
        <v>3500</v>
      </c>
      <c r="I13" s="135">
        <v>6000</v>
      </c>
    </row>
    <row r="14" spans="2:9" x14ac:dyDescent="0.3">
      <c r="B14" s="11">
        <v>4215</v>
      </c>
      <c r="C14" s="2" t="s">
        <v>120</v>
      </c>
      <c r="D14" s="60"/>
      <c r="E14" s="65">
        <v>636</v>
      </c>
      <c r="F14" s="65"/>
      <c r="G14" s="65">
        <v>382</v>
      </c>
      <c r="H14" s="84">
        <v>750</v>
      </c>
      <c r="I14" s="135">
        <v>0</v>
      </c>
    </row>
    <row r="15" spans="2:9" x14ac:dyDescent="0.3">
      <c r="B15" s="11">
        <v>4220</v>
      </c>
      <c r="C15" s="2" t="s">
        <v>42</v>
      </c>
      <c r="D15" s="60"/>
      <c r="E15" s="65">
        <v>108</v>
      </c>
      <c r="F15" s="65"/>
      <c r="G15" s="65">
        <v>228</v>
      </c>
      <c r="H15" s="84"/>
      <c r="I15" s="135">
        <v>0</v>
      </c>
    </row>
    <row r="16" spans="2:9" x14ac:dyDescent="0.3">
      <c r="B16" s="11">
        <v>4224</v>
      </c>
      <c r="C16" s="2" t="s">
        <v>44</v>
      </c>
      <c r="D16" s="60"/>
      <c r="E16" s="65">
        <v>21</v>
      </c>
      <c r="F16" s="65"/>
      <c r="G16" s="65"/>
      <c r="H16" s="84"/>
      <c r="I16" s="135">
        <v>2000</v>
      </c>
    </row>
    <row r="17" spans="2:9" x14ac:dyDescent="0.3">
      <c r="B17" s="33">
        <v>4240</v>
      </c>
      <c r="C17" s="2" t="s">
        <v>204</v>
      </c>
      <c r="D17" s="60">
        <v>13639.52</v>
      </c>
      <c r="E17" s="65">
        <v>14889</v>
      </c>
      <c r="F17" s="65">
        <v>11391.6</v>
      </c>
      <c r="G17" s="65">
        <v>16327</v>
      </c>
      <c r="H17" s="84">
        <v>18000</v>
      </c>
      <c r="I17" s="135">
        <v>16000</v>
      </c>
    </row>
    <row r="18" spans="2:9" x14ac:dyDescent="0.3">
      <c r="B18" s="42">
        <v>4245</v>
      </c>
      <c r="C18" s="43" t="s">
        <v>166</v>
      </c>
      <c r="D18" s="138"/>
      <c r="E18" s="67"/>
      <c r="F18" s="44"/>
      <c r="G18" s="65">
        <v>170</v>
      </c>
      <c r="H18" s="139">
        <v>2500</v>
      </c>
      <c r="I18" s="135">
        <v>1500</v>
      </c>
    </row>
    <row r="19" spans="2:9" x14ac:dyDescent="0.3">
      <c r="B19" s="37" t="s">
        <v>15</v>
      </c>
      <c r="C19" s="38"/>
      <c r="D19" s="53">
        <f t="shared" ref="D19:I19" si="0">SUM(D9:D18)</f>
        <v>120484.99</v>
      </c>
      <c r="E19" s="53">
        <f t="shared" si="0"/>
        <v>118498</v>
      </c>
      <c r="F19" s="53">
        <f t="shared" si="0"/>
        <v>19384.900000000001</v>
      </c>
      <c r="G19" s="53">
        <f t="shared" si="0"/>
        <v>82099</v>
      </c>
      <c r="H19" s="72">
        <f t="shared" si="0"/>
        <v>106750</v>
      </c>
      <c r="I19" s="120">
        <f t="shared" si="0"/>
        <v>139500</v>
      </c>
    </row>
    <row r="20" spans="2:9" ht="15.6" x14ac:dyDescent="0.3">
      <c r="B20" s="267" t="s">
        <v>16</v>
      </c>
      <c r="C20" s="268"/>
      <c r="D20" s="268"/>
      <c r="E20" s="268"/>
      <c r="F20" s="268"/>
      <c r="G20" s="268"/>
      <c r="H20" s="268"/>
      <c r="I20" s="269"/>
    </row>
    <row r="21" spans="2:9" x14ac:dyDescent="0.3">
      <c r="B21" s="1" t="str">
        <f>+B6</f>
        <v>VENUES AND COMMUNICATIONS</v>
      </c>
      <c r="C21" s="39"/>
      <c r="D21" s="137" t="s">
        <v>4</v>
      </c>
      <c r="E21" s="16" t="s">
        <v>5</v>
      </c>
      <c r="F21" s="16" t="s">
        <v>6</v>
      </c>
      <c r="G21" s="16" t="s">
        <v>7</v>
      </c>
      <c r="H21" s="68" t="s">
        <v>8</v>
      </c>
      <c r="I21" s="134" t="s">
        <v>214</v>
      </c>
    </row>
    <row r="22" spans="2:9" ht="28.8" x14ac:dyDescent="0.3">
      <c r="B22" s="1" t="str">
        <f>+B7</f>
        <v>N/C</v>
      </c>
      <c r="C22" s="5" t="str">
        <f>+C7</f>
        <v>NAME</v>
      </c>
      <c r="D22" s="31" t="s">
        <v>11</v>
      </c>
      <c r="E22" s="85" t="s">
        <v>11</v>
      </c>
      <c r="F22" s="85" t="s">
        <v>12</v>
      </c>
      <c r="G22" s="85" t="s">
        <v>12</v>
      </c>
      <c r="H22" s="177" t="s">
        <v>192</v>
      </c>
      <c r="I22" s="178" t="s">
        <v>215</v>
      </c>
    </row>
    <row r="23" spans="2:9" x14ac:dyDescent="0.3">
      <c r="B23" s="1"/>
      <c r="C23" s="5"/>
      <c r="D23" s="29" t="str">
        <f>+D8</f>
        <v>£</v>
      </c>
      <c r="E23" s="41" t="str">
        <f>+E8</f>
        <v>£</v>
      </c>
      <c r="F23" s="41" t="str">
        <f>+F8</f>
        <v>£</v>
      </c>
      <c r="G23" s="41" t="str">
        <f>+G8</f>
        <v>£</v>
      </c>
      <c r="H23" s="75" t="s">
        <v>13</v>
      </c>
      <c r="I23" s="136" t="s">
        <v>13</v>
      </c>
    </row>
    <row r="24" spans="2:9" x14ac:dyDescent="0.3">
      <c r="B24" s="11">
        <v>5200</v>
      </c>
      <c r="C24" s="2" t="s">
        <v>45</v>
      </c>
      <c r="D24" s="60">
        <f>14527.15+269.66+544.14</f>
        <v>15340.949999999999</v>
      </c>
      <c r="E24" s="60">
        <v>21132</v>
      </c>
      <c r="F24" s="60">
        <v>2798.32</v>
      </c>
      <c r="G24" s="60">
        <v>11730</v>
      </c>
      <c r="H24" s="84">
        <f>H9*0.4</f>
        <v>12800</v>
      </c>
      <c r="I24" s="135">
        <v>21000</v>
      </c>
    </row>
    <row r="25" spans="2:9" x14ac:dyDescent="0.3">
      <c r="B25" s="11">
        <v>5205</v>
      </c>
      <c r="C25" s="2" t="s">
        <v>207</v>
      </c>
      <c r="D25" s="60"/>
      <c r="E25" s="60"/>
      <c r="F25" s="60">
        <v>188.33</v>
      </c>
      <c r="G25" s="60">
        <v>3005</v>
      </c>
      <c r="H25" s="84">
        <v>2400</v>
      </c>
      <c r="I25" s="135">
        <v>1000</v>
      </c>
    </row>
    <row r="26" spans="2:9" x14ac:dyDescent="0.3">
      <c r="B26" s="11">
        <v>5208</v>
      </c>
      <c r="C26" s="2" t="s">
        <v>167</v>
      </c>
      <c r="D26" s="60"/>
      <c r="E26" s="60"/>
      <c r="F26" s="60"/>
      <c r="G26" s="60">
        <v>2113</v>
      </c>
      <c r="H26" s="84">
        <v>2800</v>
      </c>
      <c r="I26" s="135">
        <v>3500</v>
      </c>
    </row>
    <row r="27" spans="2:9" x14ac:dyDescent="0.3">
      <c r="B27" s="11">
        <v>5210</v>
      </c>
      <c r="C27" s="2" t="s">
        <v>46</v>
      </c>
      <c r="D27" s="60">
        <f>8804.83+1621.92</f>
        <v>10426.75</v>
      </c>
      <c r="E27" s="60">
        <v>9736</v>
      </c>
      <c r="F27" s="60">
        <v>196.8</v>
      </c>
      <c r="G27" s="60">
        <v>4053</v>
      </c>
      <c r="H27" s="84">
        <v>4000</v>
      </c>
      <c r="I27" s="135">
        <v>11000</v>
      </c>
    </row>
    <row r="28" spans="2:9" x14ac:dyDescent="0.3">
      <c r="B28" s="11">
        <v>5215</v>
      </c>
      <c r="C28" s="2" t="s">
        <v>205</v>
      </c>
      <c r="D28" s="60"/>
      <c r="E28" s="60"/>
      <c r="F28" s="60">
        <v>0</v>
      </c>
      <c r="G28" s="60">
        <v>2280</v>
      </c>
      <c r="H28" s="84">
        <v>500</v>
      </c>
      <c r="I28" s="135">
        <v>750</v>
      </c>
    </row>
    <row r="29" spans="2:9" x14ac:dyDescent="0.3">
      <c r="B29" s="11">
        <v>5220</v>
      </c>
      <c r="C29" s="2" t="s">
        <v>206</v>
      </c>
      <c r="D29" s="60">
        <f>5925.79+180+21254.29+1202.27</f>
        <v>28562.350000000002</v>
      </c>
      <c r="E29" s="60">
        <v>11697</v>
      </c>
      <c r="F29" s="60">
        <v>1496.1</v>
      </c>
      <c r="G29" s="60">
        <v>18224</v>
      </c>
      <c r="H29" s="84">
        <v>1500</v>
      </c>
      <c r="I29" s="135">
        <v>2500</v>
      </c>
    </row>
    <row r="30" spans="2:9" x14ac:dyDescent="0.3">
      <c r="B30" s="11">
        <v>5225</v>
      </c>
      <c r="C30" s="2" t="s">
        <v>168</v>
      </c>
      <c r="D30" s="60"/>
      <c r="E30" s="60"/>
      <c r="F30" s="60"/>
      <c r="G30" s="60">
        <v>0</v>
      </c>
      <c r="H30" s="84">
        <v>1000</v>
      </c>
      <c r="I30" s="135">
        <v>1000</v>
      </c>
    </row>
    <row r="31" spans="2:9" x14ac:dyDescent="0.3">
      <c r="B31" s="11">
        <v>5240</v>
      </c>
      <c r="C31" s="2" t="s">
        <v>47</v>
      </c>
      <c r="D31" s="60">
        <f>180+389.49+250+3444.79+1631.79+16601.57+1230.38</f>
        <v>23728.02</v>
      </c>
      <c r="E31" s="60">
        <v>15627</v>
      </c>
      <c r="F31" s="60">
        <v>1278</v>
      </c>
      <c r="G31" s="60">
        <f>7278+112</f>
        <v>7390</v>
      </c>
      <c r="H31" s="84">
        <v>3500</v>
      </c>
      <c r="I31" s="135">
        <v>3000</v>
      </c>
    </row>
    <row r="32" spans="2:9" x14ac:dyDescent="0.3">
      <c r="B32" s="11"/>
      <c r="C32" s="2" t="s">
        <v>43</v>
      </c>
      <c r="D32" s="60"/>
      <c r="E32" s="60"/>
      <c r="F32" s="60"/>
      <c r="G32" s="60"/>
      <c r="H32" s="84"/>
      <c r="I32" s="135"/>
    </row>
    <row r="33" spans="2:9" x14ac:dyDescent="0.3">
      <c r="B33" s="11"/>
      <c r="C33" s="156" t="s">
        <v>48</v>
      </c>
      <c r="D33" s="159">
        <f>411.55+658.5</f>
        <v>1070.05</v>
      </c>
      <c r="E33" s="159">
        <v>60</v>
      </c>
      <c r="F33" s="159">
        <v>11.75</v>
      </c>
      <c r="G33" s="159"/>
      <c r="H33" s="160"/>
      <c r="I33" s="181">
        <v>0</v>
      </c>
    </row>
    <row r="34" spans="2:9" x14ac:dyDescent="0.3">
      <c r="B34" s="11"/>
      <c r="C34" s="157" t="s">
        <v>169</v>
      </c>
      <c r="D34" s="161"/>
      <c r="E34" s="161"/>
      <c r="F34" s="161"/>
      <c r="G34" s="161">
        <v>3395</v>
      </c>
      <c r="H34" s="162">
        <v>1600</v>
      </c>
      <c r="I34" s="135">
        <v>2500</v>
      </c>
    </row>
    <row r="35" spans="2:9" x14ac:dyDescent="0.3">
      <c r="B35" s="11"/>
      <c r="C35" s="158" t="s">
        <v>49</v>
      </c>
      <c r="D35" s="163">
        <v>1514</v>
      </c>
      <c r="E35" s="163"/>
      <c r="F35" s="163"/>
      <c r="G35" s="163"/>
      <c r="H35" s="164"/>
      <c r="I35" s="182">
        <v>5000</v>
      </c>
    </row>
    <row r="36" spans="2:9" x14ac:dyDescent="0.3">
      <c r="B36" s="11">
        <v>5260</v>
      </c>
      <c r="C36" s="2" t="s">
        <v>210</v>
      </c>
      <c r="D36" s="60">
        <v>1369.49</v>
      </c>
      <c r="E36" s="60">
        <v>1761</v>
      </c>
      <c r="F36" s="60">
        <v>2764.77</v>
      </c>
      <c r="G36" s="60">
        <v>1209</v>
      </c>
      <c r="H36" s="84">
        <v>250</v>
      </c>
      <c r="I36" s="135">
        <v>0</v>
      </c>
    </row>
    <row r="37" spans="2:9" x14ac:dyDescent="0.3">
      <c r="B37" s="11">
        <v>5280</v>
      </c>
      <c r="C37" s="2" t="s">
        <v>209</v>
      </c>
      <c r="D37" s="60"/>
      <c r="E37" s="60"/>
      <c r="F37" s="60"/>
      <c r="G37" s="60">
        <v>845</v>
      </c>
      <c r="H37" s="84">
        <v>3500</v>
      </c>
      <c r="I37" s="135">
        <v>500</v>
      </c>
    </row>
    <row r="38" spans="2:9" x14ac:dyDescent="0.3">
      <c r="B38" s="11">
        <v>5281</v>
      </c>
      <c r="C38" s="2" t="s">
        <v>208</v>
      </c>
      <c r="D38" s="10"/>
      <c r="E38" s="21"/>
      <c r="F38" s="21"/>
      <c r="G38" s="60">
        <v>520</v>
      </c>
      <c r="H38" s="84">
        <v>2500</v>
      </c>
      <c r="I38" s="135">
        <v>2000</v>
      </c>
    </row>
    <row r="39" spans="2:9" x14ac:dyDescent="0.3">
      <c r="B39" s="11">
        <v>5286</v>
      </c>
      <c r="C39" s="2" t="s">
        <v>171</v>
      </c>
      <c r="D39" s="60">
        <f>2460.36+23.78</f>
        <v>2484.1400000000003</v>
      </c>
      <c r="E39" s="60">
        <v>618</v>
      </c>
      <c r="F39" s="60">
        <v>1138.48</v>
      </c>
      <c r="G39" s="60">
        <v>816</v>
      </c>
      <c r="H39" s="84">
        <v>750</v>
      </c>
      <c r="I39" s="135">
        <v>2000</v>
      </c>
    </row>
    <row r="40" spans="2:9" x14ac:dyDescent="0.3">
      <c r="B40" s="11">
        <v>5288</v>
      </c>
      <c r="C40" s="2" t="s">
        <v>170</v>
      </c>
      <c r="D40" s="60"/>
      <c r="E40" s="60"/>
      <c r="F40" s="60"/>
      <c r="G40" s="60">
        <v>200</v>
      </c>
      <c r="H40" s="84">
        <v>1250</v>
      </c>
      <c r="I40" s="135">
        <v>500</v>
      </c>
    </row>
    <row r="41" spans="2:9" x14ac:dyDescent="0.3">
      <c r="B41" s="37" t="s">
        <v>15</v>
      </c>
      <c r="C41" s="38"/>
      <c r="D41" s="53">
        <f t="shared" ref="D41:I41" si="1">SUM(D24:D40)</f>
        <v>84495.750000000015</v>
      </c>
      <c r="E41" s="53">
        <f t="shared" si="1"/>
        <v>60631</v>
      </c>
      <c r="F41" s="53">
        <f t="shared" si="1"/>
        <v>9872.5499999999993</v>
      </c>
      <c r="G41" s="53">
        <f t="shared" si="1"/>
        <v>55780</v>
      </c>
      <c r="H41" s="72">
        <f t="shared" si="1"/>
        <v>38350</v>
      </c>
      <c r="I41" s="120">
        <f t="shared" si="1"/>
        <v>56250</v>
      </c>
    </row>
    <row r="43" spans="2:9" x14ac:dyDescent="0.3">
      <c r="B43" s="23" t="s">
        <v>38</v>
      </c>
      <c r="C43" s="24" t="str">
        <f>+B6</f>
        <v>VENUES AND COMMUNICATIONS</v>
      </c>
      <c r="D43" s="53">
        <f>+D19-D41</f>
        <v>35989.239999999991</v>
      </c>
      <c r="E43" s="53">
        <f>+E19-E41</f>
        <v>57867</v>
      </c>
      <c r="F43" s="53">
        <f>+F19-F41</f>
        <v>9512.3500000000022</v>
      </c>
      <c r="G43" s="53">
        <f>+G19-G41</f>
        <v>26319</v>
      </c>
      <c r="H43" s="72">
        <f>H19-H41</f>
        <v>68400</v>
      </c>
      <c r="I43" s="120">
        <f>I19-I41</f>
        <v>83250</v>
      </c>
    </row>
    <row r="44" spans="2:9" x14ac:dyDescent="0.3">
      <c r="G44" s="25"/>
      <c r="H44" s="25"/>
      <c r="I44" s="25"/>
    </row>
  </sheetData>
  <mergeCells count="5">
    <mergeCell ref="B2:I2"/>
    <mergeCell ref="B3:I3"/>
    <mergeCell ref="B4:I4"/>
    <mergeCell ref="B5:I5"/>
    <mergeCell ref="B20:I20"/>
  </mergeCells>
  <pageMargins left="0.7" right="0.7" top="0.75" bottom="0.75" header="0.3" footer="0.3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7CA6-809B-4A03-A3D6-1A569FCA3DC6}">
  <sheetPr>
    <pageSetUpPr fitToPage="1"/>
  </sheetPr>
  <dimension ref="B2:I26"/>
  <sheetViews>
    <sheetView workbookViewId="0">
      <selection activeCell="I13" sqref="I13:I14"/>
    </sheetView>
  </sheetViews>
  <sheetFormatPr defaultRowHeight="14.4" x14ac:dyDescent="0.3"/>
  <cols>
    <col min="1" max="1" width="2.5546875" customWidth="1"/>
    <col min="2" max="2" width="8.6640625" customWidth="1"/>
    <col min="3" max="3" width="21.6640625" customWidth="1"/>
    <col min="4" max="9" width="11.6640625" customWidth="1"/>
    <col min="10" max="10" width="3" customWidth="1"/>
  </cols>
  <sheetData>
    <row r="2" spans="2:9" ht="18" x14ac:dyDescent="0.35">
      <c r="B2" s="249" t="s">
        <v>1</v>
      </c>
      <c r="C2" s="250"/>
      <c r="D2" s="250"/>
      <c r="E2" s="250"/>
      <c r="F2" s="250"/>
      <c r="G2" s="250"/>
      <c r="H2" s="250"/>
      <c r="I2" s="251"/>
    </row>
    <row r="3" spans="2:9" ht="18" x14ac:dyDescent="0.35">
      <c r="B3" s="252" t="s">
        <v>224</v>
      </c>
      <c r="C3" s="253"/>
      <c r="D3" s="253"/>
      <c r="E3" s="253"/>
      <c r="F3" s="253"/>
      <c r="G3" s="253"/>
      <c r="H3" s="253"/>
      <c r="I3" s="254"/>
    </row>
    <row r="4" spans="2:9" ht="18" x14ac:dyDescent="0.35">
      <c r="B4" s="255" t="s">
        <v>213</v>
      </c>
      <c r="C4" s="256"/>
      <c r="D4" s="256"/>
      <c r="E4" s="256"/>
      <c r="F4" s="256"/>
      <c r="G4" s="256"/>
      <c r="H4" s="256"/>
      <c r="I4" s="257"/>
    </row>
    <row r="5" spans="2:9" ht="15.6" x14ac:dyDescent="0.3">
      <c r="B5" s="258" t="s">
        <v>2</v>
      </c>
      <c r="C5" s="259"/>
      <c r="D5" s="259"/>
      <c r="E5" s="259"/>
      <c r="F5" s="259"/>
      <c r="G5" s="259"/>
      <c r="H5" s="259"/>
      <c r="I5" s="260"/>
    </row>
    <row r="6" spans="2:9" x14ac:dyDescent="0.3">
      <c r="B6" s="26" t="s">
        <v>185</v>
      </c>
      <c r="C6" s="27"/>
      <c r="D6" s="16" t="s">
        <v>4</v>
      </c>
      <c r="E6" s="16" t="s">
        <v>5</v>
      </c>
      <c r="F6" s="16" t="s">
        <v>6</v>
      </c>
      <c r="G6" s="16" t="s">
        <v>7</v>
      </c>
      <c r="H6" s="68" t="s">
        <v>8</v>
      </c>
      <c r="I6" s="134" t="s">
        <v>214</v>
      </c>
    </row>
    <row r="7" spans="2:9" ht="28.8" x14ac:dyDescent="0.3">
      <c r="B7" s="4" t="s">
        <v>9</v>
      </c>
      <c r="C7" s="30" t="s">
        <v>10</v>
      </c>
      <c r="D7" s="85" t="s">
        <v>11</v>
      </c>
      <c r="E7" s="85" t="s">
        <v>11</v>
      </c>
      <c r="F7" s="85" t="s">
        <v>11</v>
      </c>
      <c r="G7" s="85" t="s">
        <v>11</v>
      </c>
      <c r="H7" s="177" t="s">
        <v>192</v>
      </c>
      <c r="I7" s="178" t="s">
        <v>215</v>
      </c>
    </row>
    <row r="8" spans="2:9" x14ac:dyDescent="0.3">
      <c r="B8" s="32"/>
      <c r="C8" s="5"/>
      <c r="D8" s="29" t="s">
        <v>13</v>
      </c>
      <c r="E8" s="29" t="s">
        <v>13</v>
      </c>
      <c r="F8" s="29" t="s">
        <v>13</v>
      </c>
      <c r="G8" s="29" t="s">
        <v>13</v>
      </c>
      <c r="H8" s="75" t="s">
        <v>13</v>
      </c>
      <c r="I8" s="131" t="s">
        <v>13</v>
      </c>
    </row>
    <row r="9" spans="2:9" x14ac:dyDescent="0.3">
      <c r="B9" s="49">
        <v>4300</v>
      </c>
      <c r="C9" s="46" t="s">
        <v>78</v>
      </c>
      <c r="D9" s="65">
        <f>1623.82</f>
        <v>1623.82</v>
      </c>
      <c r="E9" s="65">
        <v>0</v>
      </c>
      <c r="F9" s="65">
        <v>55</v>
      </c>
      <c r="G9" s="65">
        <v>2225</v>
      </c>
      <c r="H9" s="76">
        <v>0</v>
      </c>
      <c r="I9" s="126">
        <v>0</v>
      </c>
    </row>
    <row r="10" spans="2:9" x14ac:dyDescent="0.3">
      <c r="B10" s="49">
        <v>4310</v>
      </c>
      <c r="C10" s="54" t="s">
        <v>97</v>
      </c>
      <c r="D10" s="66">
        <v>0</v>
      </c>
      <c r="E10" s="66">
        <v>0</v>
      </c>
      <c r="F10" s="66">
        <v>70</v>
      </c>
      <c r="G10" s="66">
        <v>0</v>
      </c>
      <c r="H10" s="76">
        <v>0</v>
      </c>
      <c r="I10" s="126">
        <v>0</v>
      </c>
    </row>
    <row r="11" spans="2:9" x14ac:dyDescent="0.3">
      <c r="B11" s="37" t="s">
        <v>15</v>
      </c>
      <c r="C11" s="38"/>
      <c r="D11" s="53">
        <f t="shared" ref="D11:I11" si="0">SUM(D9:D10)</f>
        <v>1623.82</v>
      </c>
      <c r="E11" s="53">
        <f t="shared" si="0"/>
        <v>0</v>
      </c>
      <c r="F11" s="53">
        <f t="shared" si="0"/>
        <v>125</v>
      </c>
      <c r="G11" s="53">
        <f t="shared" si="0"/>
        <v>2225</v>
      </c>
      <c r="H11" s="72">
        <f t="shared" si="0"/>
        <v>0</v>
      </c>
      <c r="I11" s="127">
        <f t="shared" si="0"/>
        <v>0</v>
      </c>
    </row>
    <row r="12" spans="2:9" ht="15.6" x14ac:dyDescent="0.3">
      <c r="B12" s="267" t="s">
        <v>16</v>
      </c>
      <c r="C12" s="268"/>
      <c r="D12" s="268"/>
      <c r="E12" s="268"/>
      <c r="F12" s="268"/>
      <c r="G12" s="268"/>
      <c r="H12" s="268"/>
      <c r="I12" s="269"/>
    </row>
    <row r="13" spans="2:9" x14ac:dyDescent="0.3">
      <c r="B13" s="1" t="str">
        <f>+B6</f>
        <v>HERITAGE &amp; TOWN EVENTS</v>
      </c>
      <c r="C13" s="39"/>
      <c r="D13" s="16" t="s">
        <v>4</v>
      </c>
      <c r="E13" s="16" t="s">
        <v>5</v>
      </c>
      <c r="F13" s="16" t="s">
        <v>6</v>
      </c>
      <c r="G13" s="16" t="s">
        <v>7</v>
      </c>
      <c r="H13" s="68" t="s">
        <v>8</v>
      </c>
      <c r="I13" s="134" t="s">
        <v>214</v>
      </c>
    </row>
    <row r="14" spans="2:9" ht="28.8" x14ac:dyDescent="0.3">
      <c r="B14" s="1" t="str">
        <f>+B7</f>
        <v>N/C</v>
      </c>
      <c r="C14" s="5" t="str">
        <f t="shared" ref="C14" si="1">+C7</f>
        <v>NAME</v>
      </c>
      <c r="D14" s="85" t="s">
        <v>11</v>
      </c>
      <c r="E14" s="85" t="s">
        <v>11</v>
      </c>
      <c r="F14" s="85" t="s">
        <v>11</v>
      </c>
      <c r="G14" s="85" t="s">
        <v>11</v>
      </c>
      <c r="H14" s="177" t="s">
        <v>192</v>
      </c>
      <c r="I14" s="178" t="s">
        <v>215</v>
      </c>
    </row>
    <row r="15" spans="2:9" x14ac:dyDescent="0.3">
      <c r="B15" s="1"/>
      <c r="C15" s="5"/>
      <c r="D15" s="29" t="str">
        <f t="shared" ref="D15:I15" si="2">+D8</f>
        <v>£</v>
      </c>
      <c r="E15" s="154" t="str">
        <f t="shared" si="2"/>
        <v>£</v>
      </c>
      <c r="F15" s="29" t="str">
        <f t="shared" si="2"/>
        <v>£</v>
      </c>
      <c r="G15" s="29" t="s">
        <v>13</v>
      </c>
      <c r="H15" s="75" t="s">
        <v>13</v>
      </c>
      <c r="I15" s="131" t="str">
        <f t="shared" si="2"/>
        <v>£</v>
      </c>
    </row>
    <row r="16" spans="2:9" x14ac:dyDescent="0.3">
      <c r="B16" s="11">
        <v>5300</v>
      </c>
      <c r="C16" s="2" t="s">
        <v>50</v>
      </c>
      <c r="D16" s="65">
        <f>2550.82</f>
        <v>2550.8200000000002</v>
      </c>
      <c r="E16" s="55">
        <v>2850</v>
      </c>
      <c r="F16" s="65">
        <v>473.34</v>
      </c>
      <c r="G16" s="65">
        <v>977</v>
      </c>
      <c r="H16" s="76">
        <v>2601</v>
      </c>
      <c r="I16" s="126">
        <v>2601</v>
      </c>
    </row>
    <row r="17" spans="2:9" x14ac:dyDescent="0.3">
      <c r="B17" s="11">
        <v>5310</v>
      </c>
      <c r="C17" s="2" t="s">
        <v>157</v>
      </c>
      <c r="D17" s="65">
        <f>2135.52</f>
        <v>2135.52</v>
      </c>
      <c r="E17" s="55">
        <v>1814</v>
      </c>
      <c r="F17" s="65">
        <v>1.32</v>
      </c>
      <c r="G17" s="65">
        <v>693</v>
      </c>
      <c r="H17" s="76">
        <v>4766</v>
      </c>
      <c r="I17" s="126">
        <v>4800</v>
      </c>
    </row>
    <row r="18" spans="2:9" x14ac:dyDescent="0.3">
      <c r="B18" s="11">
        <v>5320</v>
      </c>
      <c r="C18" s="2" t="s">
        <v>51</v>
      </c>
      <c r="D18" s="65">
        <f>6.8+2040.79+1020+1859.91+85+2827.65+75+547.99</f>
        <v>8463.14</v>
      </c>
      <c r="E18" s="55">
        <v>3867</v>
      </c>
      <c r="F18" s="65">
        <v>435.65</v>
      </c>
      <c r="G18" s="65">
        <v>2170</v>
      </c>
      <c r="H18" s="76">
        <v>3560</v>
      </c>
      <c r="I18" s="126">
        <v>2300</v>
      </c>
    </row>
    <row r="19" spans="2:9" x14ac:dyDescent="0.3">
      <c r="B19" s="11">
        <v>5325</v>
      </c>
      <c r="C19" s="2" t="s">
        <v>52</v>
      </c>
      <c r="D19" s="65">
        <f>271.95</f>
        <v>271.95</v>
      </c>
      <c r="E19" s="55"/>
      <c r="F19" s="65"/>
      <c r="G19" s="65">
        <v>612</v>
      </c>
      <c r="H19" s="76">
        <v>912</v>
      </c>
      <c r="I19" s="126">
        <v>1200</v>
      </c>
    </row>
    <row r="20" spans="2:9" x14ac:dyDescent="0.3">
      <c r="B20" s="11"/>
      <c r="C20" s="2" t="s">
        <v>156</v>
      </c>
      <c r="D20" s="65"/>
      <c r="E20" s="55"/>
      <c r="F20" s="65"/>
      <c r="G20" s="65">
        <v>296</v>
      </c>
      <c r="H20" s="76">
        <v>12000</v>
      </c>
      <c r="I20" s="126">
        <v>12000</v>
      </c>
    </row>
    <row r="21" spans="2:9" x14ac:dyDescent="0.3">
      <c r="B21" s="11">
        <v>5328</v>
      </c>
      <c r="C21" s="2" t="s">
        <v>122</v>
      </c>
      <c r="D21" s="10"/>
      <c r="E21" s="155"/>
      <c r="F21" s="10"/>
      <c r="G21" s="57">
        <v>0</v>
      </c>
      <c r="H21" s="76">
        <v>50</v>
      </c>
      <c r="I21" s="126">
        <v>100</v>
      </c>
    </row>
    <row r="22" spans="2:9" x14ac:dyDescent="0.3">
      <c r="B22" s="11"/>
      <c r="C22" s="2" t="s">
        <v>216</v>
      </c>
      <c r="D22" s="80"/>
      <c r="E22" s="155"/>
      <c r="F22" s="80"/>
      <c r="G22" s="80"/>
      <c r="H22" s="79"/>
      <c r="I22" s="126">
        <v>888</v>
      </c>
    </row>
    <row r="23" spans="2:9" x14ac:dyDescent="0.3">
      <c r="B23" s="37" t="s">
        <v>15</v>
      </c>
      <c r="C23" s="38"/>
      <c r="D23" s="53">
        <f t="shared" ref="D23:I23" si="3">SUM(D16:D22)</f>
        <v>13421.43</v>
      </c>
      <c r="E23" s="53">
        <f t="shared" si="3"/>
        <v>8531</v>
      </c>
      <c r="F23" s="53">
        <f t="shared" si="3"/>
        <v>910.31</v>
      </c>
      <c r="G23" s="53">
        <f t="shared" si="3"/>
        <v>4748</v>
      </c>
      <c r="H23" s="72">
        <f t="shared" si="3"/>
        <v>23889</v>
      </c>
      <c r="I23" s="127">
        <f t="shared" si="3"/>
        <v>23889</v>
      </c>
    </row>
    <row r="24" spans="2:9" x14ac:dyDescent="0.3">
      <c r="B24" s="46"/>
      <c r="C24" s="46"/>
      <c r="D24" s="46"/>
      <c r="E24" s="46"/>
      <c r="F24" s="46"/>
      <c r="G24" s="46"/>
      <c r="H24" s="46"/>
      <c r="I24" s="46"/>
    </row>
    <row r="25" spans="2:9" x14ac:dyDescent="0.3">
      <c r="B25" s="47" t="s">
        <v>186</v>
      </c>
      <c r="C25" s="48"/>
      <c r="D25" s="53">
        <f>+D11-D23</f>
        <v>-11797.61</v>
      </c>
      <c r="E25" s="53">
        <f>+E11-E23</f>
        <v>-8531</v>
      </c>
      <c r="F25" s="53">
        <f>+F11-F23</f>
        <v>-785.31</v>
      </c>
      <c r="G25" s="53">
        <f>G11-G23</f>
        <v>-2523</v>
      </c>
      <c r="H25" s="72">
        <f>H11-H23</f>
        <v>-23889</v>
      </c>
      <c r="I25" s="127">
        <f>+I11-I23</f>
        <v>-23889</v>
      </c>
    </row>
    <row r="26" spans="2:9" x14ac:dyDescent="0.3">
      <c r="I26" s="25"/>
    </row>
  </sheetData>
  <mergeCells count="5">
    <mergeCell ref="B2:I2"/>
    <mergeCell ref="B3:I3"/>
    <mergeCell ref="B4:I4"/>
    <mergeCell ref="B5:I5"/>
    <mergeCell ref="B12:I12"/>
  </mergeCells>
  <pageMargins left="0.7" right="0.7" top="0.75" bottom="0.75" header="0.3" footer="0.3"/>
  <pageSetup paperSize="9" scale="83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F3A52-688E-4276-905C-A7F9C4FE2E54}">
  <sheetPr>
    <pageSetUpPr fitToPage="1"/>
  </sheetPr>
  <dimension ref="B2:I61"/>
  <sheetViews>
    <sheetView topLeftCell="A49" workbookViewId="0">
      <selection activeCell="N22" sqref="N22"/>
    </sheetView>
  </sheetViews>
  <sheetFormatPr defaultRowHeight="14.4" x14ac:dyDescent="0.3"/>
  <cols>
    <col min="1" max="1" width="2.88671875" customWidth="1"/>
    <col min="2" max="2" width="7.5546875" customWidth="1"/>
    <col min="3" max="3" width="26" customWidth="1"/>
    <col min="4" max="9" width="10.6640625" customWidth="1"/>
    <col min="10" max="10" width="2.44140625" customWidth="1"/>
  </cols>
  <sheetData>
    <row r="2" spans="2:9" ht="18" x14ac:dyDescent="0.35">
      <c r="B2" s="249" t="s">
        <v>1</v>
      </c>
      <c r="C2" s="250"/>
      <c r="D2" s="250"/>
      <c r="E2" s="250"/>
      <c r="F2" s="250"/>
      <c r="G2" s="250"/>
      <c r="H2" s="250"/>
      <c r="I2" s="251"/>
    </row>
    <row r="3" spans="2:9" ht="18" x14ac:dyDescent="0.35">
      <c r="B3" s="252" t="s">
        <v>224</v>
      </c>
      <c r="C3" s="253"/>
      <c r="D3" s="253"/>
      <c r="E3" s="253"/>
      <c r="F3" s="253"/>
      <c r="G3" s="253"/>
      <c r="H3" s="253"/>
      <c r="I3" s="254"/>
    </row>
    <row r="4" spans="2:9" ht="18" x14ac:dyDescent="0.35">
      <c r="B4" s="255" t="s">
        <v>213</v>
      </c>
      <c r="C4" s="256"/>
      <c r="D4" s="256"/>
      <c r="E4" s="256"/>
      <c r="F4" s="256"/>
      <c r="G4" s="256"/>
      <c r="H4" s="256"/>
      <c r="I4" s="257"/>
    </row>
    <row r="5" spans="2:9" ht="15.6" x14ac:dyDescent="0.3">
      <c r="B5" s="258" t="s">
        <v>2</v>
      </c>
      <c r="C5" s="259"/>
      <c r="D5" s="259"/>
      <c r="E5" s="259"/>
      <c r="F5" s="259"/>
      <c r="G5" s="259"/>
      <c r="H5" s="259"/>
      <c r="I5" s="260"/>
    </row>
    <row r="6" spans="2:9" x14ac:dyDescent="0.3">
      <c r="B6" s="1" t="s">
        <v>187</v>
      </c>
      <c r="C6" s="2"/>
      <c r="D6" s="16" t="s">
        <v>4</v>
      </c>
      <c r="E6" s="16" t="s">
        <v>5</v>
      </c>
      <c r="F6" s="16" t="s">
        <v>6</v>
      </c>
      <c r="G6" s="16" t="s">
        <v>7</v>
      </c>
      <c r="H6" s="68" t="s">
        <v>8</v>
      </c>
      <c r="I6" s="134" t="s">
        <v>214</v>
      </c>
    </row>
    <row r="7" spans="2:9" ht="28.8" x14ac:dyDescent="0.3">
      <c r="B7" s="4" t="s">
        <v>9</v>
      </c>
      <c r="C7" s="30" t="s">
        <v>10</v>
      </c>
      <c r="D7" s="85" t="s">
        <v>11</v>
      </c>
      <c r="E7" s="85" t="s">
        <v>11</v>
      </c>
      <c r="F7" s="85" t="s">
        <v>11</v>
      </c>
      <c r="G7" s="85" t="s">
        <v>11</v>
      </c>
      <c r="H7" s="177" t="s">
        <v>192</v>
      </c>
      <c r="I7" s="178" t="s">
        <v>215</v>
      </c>
    </row>
    <row r="8" spans="2:9" x14ac:dyDescent="0.3">
      <c r="B8" s="32"/>
      <c r="C8" s="5"/>
      <c r="D8" s="29" t="s">
        <v>13</v>
      </c>
      <c r="E8" s="29" t="s">
        <v>13</v>
      </c>
      <c r="F8" s="78" t="s">
        <v>13</v>
      </c>
      <c r="G8" s="78" t="s">
        <v>13</v>
      </c>
      <c r="H8" s="75" t="s">
        <v>13</v>
      </c>
      <c r="I8" s="117" t="s">
        <v>13</v>
      </c>
    </row>
    <row r="9" spans="2:9" x14ac:dyDescent="0.3">
      <c r="B9" s="11">
        <v>4410</v>
      </c>
      <c r="C9" s="2" t="s">
        <v>88</v>
      </c>
      <c r="D9" s="58">
        <f>24429.04+6705+40942.97</f>
        <v>72077.010000000009</v>
      </c>
      <c r="E9" s="58">
        <v>73874</v>
      </c>
      <c r="F9" s="58">
        <v>33410.400000000001</v>
      </c>
      <c r="G9" s="58">
        <v>29193</v>
      </c>
      <c r="H9" s="71">
        <v>39000</v>
      </c>
      <c r="I9" s="118">
        <v>30000</v>
      </c>
    </row>
    <row r="10" spans="2:9" x14ac:dyDescent="0.3">
      <c r="B10" s="11">
        <v>4414</v>
      </c>
      <c r="C10" s="2" t="s">
        <v>196</v>
      </c>
      <c r="D10" s="57"/>
      <c r="E10" s="57">
        <v>765</v>
      </c>
      <c r="F10" s="57">
        <v>-140</v>
      </c>
      <c r="G10" s="57"/>
      <c r="H10" s="71"/>
      <c r="I10" s="118">
        <v>150</v>
      </c>
    </row>
    <row r="11" spans="2:9" x14ac:dyDescent="0.3">
      <c r="B11" s="11">
        <v>4420</v>
      </c>
      <c r="C11" s="2" t="s">
        <v>80</v>
      </c>
      <c r="D11" s="57">
        <f>1100+400</f>
        <v>1500</v>
      </c>
      <c r="E11" s="57">
        <v>853</v>
      </c>
      <c r="F11" s="57">
        <v>1410.2429999999999</v>
      </c>
      <c r="G11" s="57">
        <v>667</v>
      </c>
      <c r="H11" s="71">
        <v>1550</v>
      </c>
      <c r="I11" s="118">
        <v>1000</v>
      </c>
    </row>
    <row r="12" spans="2:9" x14ac:dyDescent="0.3">
      <c r="B12" s="11">
        <v>4421</v>
      </c>
      <c r="C12" s="2" t="s">
        <v>163</v>
      </c>
      <c r="D12" s="57"/>
      <c r="E12" s="57"/>
      <c r="F12" s="57"/>
      <c r="G12" s="57">
        <v>1825</v>
      </c>
      <c r="H12" s="71">
        <v>3500</v>
      </c>
      <c r="I12" s="118">
        <v>0</v>
      </c>
    </row>
    <row r="13" spans="2:9" x14ac:dyDescent="0.3">
      <c r="B13" s="11">
        <v>4424</v>
      </c>
      <c r="C13" s="2" t="s">
        <v>98</v>
      </c>
      <c r="D13" s="57"/>
      <c r="E13" s="57">
        <v>6833</v>
      </c>
      <c r="F13" s="57">
        <v>6833.33</v>
      </c>
      <c r="G13" s="57">
        <v>6833</v>
      </c>
      <c r="H13" s="71">
        <v>6833</v>
      </c>
      <c r="I13" s="118">
        <v>0</v>
      </c>
    </row>
    <row r="14" spans="2:9" x14ac:dyDescent="0.3">
      <c r="B14" s="11"/>
      <c r="C14" s="2" t="s">
        <v>94</v>
      </c>
      <c r="D14" s="57">
        <v>111.67</v>
      </c>
      <c r="E14" s="57"/>
      <c r="F14" s="57"/>
      <c r="G14" s="57"/>
      <c r="H14" s="79"/>
      <c r="I14" s="118">
        <v>1000</v>
      </c>
    </row>
    <row r="15" spans="2:9" x14ac:dyDescent="0.3">
      <c r="B15" s="33">
        <v>4440</v>
      </c>
      <c r="C15" s="2" t="s">
        <v>200</v>
      </c>
      <c r="D15" s="57">
        <v>928.33</v>
      </c>
      <c r="E15" s="57"/>
      <c r="F15" s="57"/>
      <c r="G15" s="57"/>
      <c r="H15" s="79"/>
      <c r="I15" s="118">
        <v>500</v>
      </c>
    </row>
    <row r="16" spans="2:9" x14ac:dyDescent="0.3">
      <c r="B16" s="35">
        <v>4440</v>
      </c>
      <c r="C16" s="36" t="s">
        <v>79</v>
      </c>
      <c r="D16" s="57"/>
      <c r="E16" s="57"/>
      <c r="F16" s="57">
        <v>163.33000000000001</v>
      </c>
      <c r="G16" s="57"/>
      <c r="H16" s="81"/>
      <c r="I16" s="118">
        <v>0</v>
      </c>
    </row>
    <row r="17" spans="2:9" x14ac:dyDescent="0.3">
      <c r="B17" s="187" t="s">
        <v>15</v>
      </c>
      <c r="C17" s="38"/>
      <c r="D17" s="56">
        <f>SUM(D9:D16)</f>
        <v>74617.010000000009</v>
      </c>
      <c r="E17" s="56">
        <f>SUM(E9:E16)</f>
        <v>82325</v>
      </c>
      <c r="F17" s="56">
        <f>SUM(F9:F16)</f>
        <v>41677.303000000007</v>
      </c>
      <c r="G17" s="56">
        <f>SUM(G9:G16)</f>
        <v>38518</v>
      </c>
      <c r="H17" s="72">
        <f t="shared" ref="H17:I17" si="0">SUM(H9:H16)</f>
        <v>50883</v>
      </c>
      <c r="I17" s="120">
        <f t="shared" si="0"/>
        <v>32650</v>
      </c>
    </row>
    <row r="18" spans="2:9" ht="15.6" x14ac:dyDescent="0.3">
      <c r="B18" s="267" t="s">
        <v>16</v>
      </c>
      <c r="C18" s="268"/>
      <c r="D18" s="268"/>
      <c r="E18" s="268"/>
      <c r="F18" s="268"/>
      <c r="G18" s="268"/>
      <c r="H18" s="268"/>
      <c r="I18" s="269"/>
    </row>
    <row r="19" spans="2:9" x14ac:dyDescent="0.3">
      <c r="B19" s="26" t="str">
        <f>+B6</f>
        <v>AMENITIES</v>
      </c>
      <c r="C19" s="39"/>
      <c r="D19" s="16" t="str">
        <f t="shared" ref="D19:I19" si="1">+D6</f>
        <v>2018-19</v>
      </c>
      <c r="E19" s="16" t="str">
        <f t="shared" si="1"/>
        <v>2019-20</v>
      </c>
      <c r="F19" s="16" t="str">
        <f t="shared" si="1"/>
        <v>2020-21</v>
      </c>
      <c r="G19" s="16" t="str">
        <f t="shared" si="1"/>
        <v>2021-22</v>
      </c>
      <c r="H19" s="68" t="str">
        <f t="shared" ref="H19" si="2">+H6</f>
        <v>2022-23</v>
      </c>
      <c r="I19" s="116" t="str">
        <f t="shared" si="1"/>
        <v>2023-24</v>
      </c>
    </row>
    <row r="20" spans="2:9" ht="28.8" x14ac:dyDescent="0.3">
      <c r="B20" s="1" t="str">
        <f>+B7</f>
        <v>N/C</v>
      </c>
      <c r="C20" s="5" t="str">
        <f t="shared" ref="C20:I20" si="3">+C7</f>
        <v>NAME</v>
      </c>
      <c r="D20" s="85" t="str">
        <f t="shared" si="3"/>
        <v>ACTUAL</v>
      </c>
      <c r="E20" s="85" t="str">
        <f t="shared" si="3"/>
        <v>ACTUAL</v>
      </c>
      <c r="F20" s="85" t="str">
        <f t="shared" si="3"/>
        <v>ACTUAL</v>
      </c>
      <c r="G20" s="85" t="str">
        <f t="shared" si="3"/>
        <v>ACTUAL</v>
      </c>
      <c r="H20" s="177" t="str">
        <f t="shared" ref="H20" si="4">+H7</f>
        <v>ORIGINAL BUDGET</v>
      </c>
      <c r="I20" s="183" t="str">
        <f t="shared" si="3"/>
        <v>PROPOSED BUDGET</v>
      </c>
    </row>
    <row r="21" spans="2:9" x14ac:dyDescent="0.3">
      <c r="B21" s="1"/>
      <c r="C21" s="5"/>
      <c r="D21" s="41" t="str">
        <f t="shared" ref="D21:I21" si="5">+D8</f>
        <v>£</v>
      </c>
      <c r="E21" s="41" t="str">
        <f t="shared" si="5"/>
        <v>£</v>
      </c>
      <c r="F21" s="41" t="str">
        <f t="shared" si="5"/>
        <v>£</v>
      </c>
      <c r="G21" s="41" t="str">
        <f t="shared" si="5"/>
        <v>£</v>
      </c>
      <c r="H21" s="75" t="str">
        <f t="shared" ref="H21" si="6">+H8</f>
        <v>£</v>
      </c>
      <c r="I21" s="131" t="str">
        <f t="shared" si="5"/>
        <v>£</v>
      </c>
    </row>
    <row r="22" spans="2:9" x14ac:dyDescent="0.3">
      <c r="B22" s="11">
        <v>5400</v>
      </c>
      <c r="C22" s="2" t="s">
        <v>53</v>
      </c>
      <c r="D22" s="58">
        <v>4061.02</v>
      </c>
      <c r="E22" s="58">
        <v>3812</v>
      </c>
      <c r="F22" s="58">
        <v>5393.37</v>
      </c>
      <c r="G22" s="58">
        <v>9788</v>
      </c>
      <c r="H22" s="71">
        <v>8000</v>
      </c>
      <c r="I22" s="118">
        <v>4000</v>
      </c>
    </row>
    <row r="23" spans="2:9" x14ac:dyDescent="0.3">
      <c r="B23" s="11">
        <v>5405</v>
      </c>
      <c r="C23" s="2" t="s">
        <v>197</v>
      </c>
      <c r="D23" s="58"/>
      <c r="E23" s="58"/>
      <c r="F23" s="58"/>
      <c r="G23" s="58">
        <v>1303</v>
      </c>
      <c r="H23" s="71"/>
      <c r="I23" s="118">
        <v>0</v>
      </c>
    </row>
    <row r="24" spans="2:9" x14ac:dyDescent="0.3">
      <c r="B24" s="11">
        <v>5410</v>
      </c>
      <c r="C24" s="2" t="s">
        <v>54</v>
      </c>
      <c r="D24" s="58">
        <v>21550.67</v>
      </c>
      <c r="E24" s="58">
        <v>15783</v>
      </c>
      <c r="F24" s="58">
        <v>18940.330000000002</v>
      </c>
      <c r="G24" s="58">
        <v>24594</v>
      </c>
      <c r="H24" s="71">
        <v>18500</v>
      </c>
      <c r="I24" s="118">
        <v>21000</v>
      </c>
    </row>
    <row r="25" spans="2:9" x14ac:dyDescent="0.3">
      <c r="B25" s="11">
        <v>5415</v>
      </c>
      <c r="C25" s="2" t="s">
        <v>115</v>
      </c>
      <c r="D25" s="58">
        <v>10525.37</v>
      </c>
      <c r="E25" s="58">
        <v>9950</v>
      </c>
      <c r="F25" s="58">
        <v>3287.09</v>
      </c>
      <c r="G25" s="58">
        <f>SUM(G26:G28)</f>
        <v>10282</v>
      </c>
      <c r="H25" s="71">
        <f t="shared" ref="H25" si="7">SUM(H26:H28)</f>
        <v>13004</v>
      </c>
      <c r="I25" s="118">
        <f>SUM(I26:I28)</f>
        <v>21000</v>
      </c>
    </row>
    <row r="26" spans="2:9" x14ac:dyDescent="0.3">
      <c r="B26" s="11"/>
      <c r="C26" s="88" t="s">
        <v>217</v>
      </c>
      <c r="D26" s="89"/>
      <c r="E26" s="89"/>
      <c r="F26" s="89"/>
      <c r="G26" s="89">
        <v>10282</v>
      </c>
      <c r="H26" s="97">
        <v>10704</v>
      </c>
      <c r="I26" s="184">
        <v>18500</v>
      </c>
    </row>
    <row r="27" spans="2:9" x14ac:dyDescent="0.3">
      <c r="B27" s="11"/>
      <c r="C27" s="92" t="s">
        <v>222</v>
      </c>
      <c r="D27" s="93"/>
      <c r="E27" s="93"/>
      <c r="F27" s="93"/>
      <c r="G27" s="93"/>
      <c r="H27" s="99"/>
      <c r="I27" s="186">
        <v>1000</v>
      </c>
    </row>
    <row r="28" spans="2:9" x14ac:dyDescent="0.3">
      <c r="B28" s="11"/>
      <c r="C28" s="90" t="s">
        <v>124</v>
      </c>
      <c r="D28" s="91"/>
      <c r="E28" s="91"/>
      <c r="F28" s="91"/>
      <c r="G28" s="91">
        <v>0</v>
      </c>
      <c r="H28" s="121">
        <v>2300</v>
      </c>
      <c r="I28" s="185">
        <v>1500</v>
      </c>
    </row>
    <row r="29" spans="2:9" x14ac:dyDescent="0.3">
      <c r="B29" s="11">
        <v>5420</v>
      </c>
      <c r="C29" s="2" t="s">
        <v>55</v>
      </c>
      <c r="D29" s="58">
        <f>123.32+10641.12+30145.66+16879.85</f>
        <v>57789.95</v>
      </c>
      <c r="E29" s="58">
        <v>44830</v>
      </c>
      <c r="F29" s="58">
        <v>15858.3</v>
      </c>
      <c r="G29" s="58">
        <v>15402</v>
      </c>
      <c r="H29" s="71">
        <v>15000</v>
      </c>
      <c r="I29" s="118">
        <v>15000</v>
      </c>
    </row>
    <row r="30" spans="2:9" x14ac:dyDescent="0.3">
      <c r="B30" s="11">
        <v>5420</v>
      </c>
      <c r="C30" s="2" t="s">
        <v>199</v>
      </c>
      <c r="D30" s="58"/>
      <c r="E30" s="58"/>
      <c r="F30" s="58"/>
      <c r="G30" s="58"/>
      <c r="H30" s="71"/>
      <c r="I30" s="118">
        <v>0</v>
      </c>
    </row>
    <row r="31" spans="2:9" x14ac:dyDescent="0.3">
      <c r="B31" s="11">
        <v>5440</v>
      </c>
      <c r="C31" s="2" t="s">
        <v>56</v>
      </c>
      <c r="D31" s="58">
        <f>183.04+125.8+2565.11+50+109.53</f>
        <v>3033.4800000000005</v>
      </c>
      <c r="E31" s="58">
        <v>5590</v>
      </c>
      <c r="F31" s="58">
        <v>0</v>
      </c>
      <c r="G31" s="58"/>
      <c r="H31" s="122"/>
      <c r="I31" s="118">
        <v>0</v>
      </c>
    </row>
    <row r="32" spans="2:9" x14ac:dyDescent="0.3">
      <c r="B32" s="11">
        <v>5450</v>
      </c>
      <c r="C32" s="2" t="s">
        <v>57</v>
      </c>
      <c r="D32" s="58">
        <f>644.6+21131.46</f>
        <v>21776.059999999998</v>
      </c>
      <c r="E32" s="58">
        <v>33505</v>
      </c>
      <c r="F32" s="58">
        <v>38099.72</v>
      </c>
      <c r="G32" s="58">
        <f>SUM(G33:G41)</f>
        <v>21270</v>
      </c>
      <c r="H32" s="71">
        <f t="shared" ref="H32" si="8">SUM(H33:H41)</f>
        <v>44544</v>
      </c>
      <c r="I32" s="118">
        <f>SUM(I33:I41)</f>
        <v>49935</v>
      </c>
    </row>
    <row r="33" spans="2:9" x14ac:dyDescent="0.3">
      <c r="B33" s="11"/>
      <c r="C33" s="88" t="s">
        <v>131</v>
      </c>
      <c r="D33" s="89"/>
      <c r="E33" s="89"/>
      <c r="F33" s="89"/>
      <c r="G33" s="89">
        <v>21270</v>
      </c>
      <c r="H33" s="97">
        <v>44544</v>
      </c>
      <c r="I33" s="184">
        <v>22935</v>
      </c>
    </row>
    <row r="34" spans="2:9" x14ac:dyDescent="0.3">
      <c r="B34" s="11"/>
      <c r="C34" s="92" t="s">
        <v>219</v>
      </c>
      <c r="D34" s="93"/>
      <c r="E34" s="93"/>
      <c r="F34" s="93"/>
      <c r="G34" s="93"/>
      <c r="H34" s="99"/>
      <c r="I34" s="186">
        <v>15000</v>
      </c>
    </row>
    <row r="35" spans="2:9" x14ac:dyDescent="0.3">
      <c r="B35" s="11"/>
      <c r="C35" s="92" t="s">
        <v>220</v>
      </c>
      <c r="D35" s="93"/>
      <c r="E35" s="93"/>
      <c r="F35" s="93"/>
      <c r="G35" s="93"/>
      <c r="H35" s="99"/>
      <c r="I35" s="186">
        <v>3000</v>
      </c>
    </row>
    <row r="36" spans="2:9" x14ac:dyDescent="0.3">
      <c r="B36" s="11"/>
      <c r="C36" s="92" t="s">
        <v>125</v>
      </c>
      <c r="D36" s="93"/>
      <c r="E36" s="93"/>
      <c r="F36" s="93"/>
      <c r="G36" s="93"/>
      <c r="H36" s="99">
        <f>F36*1.05</f>
        <v>0</v>
      </c>
      <c r="I36" s="186">
        <v>0</v>
      </c>
    </row>
    <row r="37" spans="2:9" x14ac:dyDescent="0.3">
      <c r="B37" s="11"/>
      <c r="C37" s="92" t="s">
        <v>132</v>
      </c>
      <c r="D37" s="93"/>
      <c r="E37" s="93"/>
      <c r="F37" s="93"/>
      <c r="G37" s="93"/>
      <c r="H37" s="99">
        <f t="shared" ref="H37" si="9">F37*1.05</f>
        <v>0</v>
      </c>
      <c r="I37" s="186">
        <v>3500</v>
      </c>
    </row>
    <row r="38" spans="2:9" x14ac:dyDescent="0.3">
      <c r="B38" s="11"/>
      <c r="C38" s="92" t="s">
        <v>218</v>
      </c>
      <c r="D38" s="93"/>
      <c r="E38" s="93"/>
      <c r="F38" s="93"/>
      <c r="G38" s="93"/>
      <c r="H38" s="99"/>
      <c r="I38" s="186">
        <v>1000</v>
      </c>
    </row>
    <row r="39" spans="2:9" x14ac:dyDescent="0.3">
      <c r="B39" s="11"/>
      <c r="C39" s="92" t="s">
        <v>126</v>
      </c>
      <c r="D39" s="93"/>
      <c r="E39" s="93"/>
      <c r="F39" s="93"/>
      <c r="G39" s="93"/>
      <c r="H39" s="99">
        <f t="shared" ref="H39" si="10">F39*1.05</f>
        <v>0</v>
      </c>
      <c r="I39" s="186">
        <v>0</v>
      </c>
    </row>
    <row r="40" spans="2:9" x14ac:dyDescent="0.3">
      <c r="B40" s="11"/>
      <c r="C40" s="92" t="s">
        <v>127</v>
      </c>
      <c r="D40" s="93"/>
      <c r="E40" s="93"/>
      <c r="F40" s="93"/>
      <c r="G40" s="93"/>
      <c r="H40" s="99">
        <f t="shared" ref="H40" si="11">F40*1.05</f>
        <v>0</v>
      </c>
      <c r="I40" s="186">
        <v>1000</v>
      </c>
    </row>
    <row r="41" spans="2:9" x14ac:dyDescent="0.3">
      <c r="B41" s="11"/>
      <c r="C41" s="90" t="s">
        <v>128</v>
      </c>
      <c r="D41" s="91"/>
      <c r="E41" s="91"/>
      <c r="F41" s="91"/>
      <c r="G41" s="91"/>
      <c r="H41" s="123"/>
      <c r="I41" s="185">
        <v>3500</v>
      </c>
    </row>
    <row r="42" spans="2:9" x14ac:dyDescent="0.3">
      <c r="B42" s="11">
        <v>5452</v>
      </c>
      <c r="C42" s="2" t="s">
        <v>58</v>
      </c>
      <c r="D42" s="58">
        <f>16493.15+1200+69.19</f>
        <v>17762.34</v>
      </c>
      <c r="E42" s="58">
        <v>5985</v>
      </c>
      <c r="F42" s="58">
        <v>4343.2</v>
      </c>
      <c r="G42" s="58">
        <v>2691</v>
      </c>
      <c r="H42" s="124">
        <v>6000</v>
      </c>
      <c r="I42" s="118">
        <v>6000</v>
      </c>
    </row>
    <row r="43" spans="2:9" x14ac:dyDescent="0.3">
      <c r="B43" s="11">
        <v>5455</v>
      </c>
      <c r="C43" s="2" t="s">
        <v>59</v>
      </c>
      <c r="D43" s="58">
        <f>4796+6235</f>
        <v>11031</v>
      </c>
      <c r="E43" s="58">
        <v>14650</v>
      </c>
      <c r="F43" s="58">
        <v>24400</v>
      </c>
      <c r="G43" s="58">
        <f>G44+G45</f>
        <v>12380</v>
      </c>
      <c r="H43" s="71">
        <f t="shared" ref="H43" si="12">H44+H45</f>
        <v>13500</v>
      </c>
      <c r="I43" s="118">
        <f>I44+I45</f>
        <v>16000</v>
      </c>
    </row>
    <row r="44" spans="2:9" x14ac:dyDescent="0.3">
      <c r="B44" s="11"/>
      <c r="C44" s="88" t="s">
        <v>129</v>
      </c>
      <c r="D44" s="89"/>
      <c r="E44" s="89"/>
      <c r="F44" s="89"/>
      <c r="G44" s="89">
        <v>12380</v>
      </c>
      <c r="H44" s="97">
        <v>3500</v>
      </c>
      <c r="I44" s="184">
        <v>6000</v>
      </c>
    </row>
    <row r="45" spans="2:9" x14ac:dyDescent="0.3">
      <c r="B45" s="11"/>
      <c r="C45" s="90" t="s">
        <v>130</v>
      </c>
      <c r="D45" s="91"/>
      <c r="E45" s="91"/>
      <c r="F45" s="91"/>
      <c r="G45" s="91">
        <v>0</v>
      </c>
      <c r="H45" s="121">
        <v>10000</v>
      </c>
      <c r="I45" s="185">
        <v>10000</v>
      </c>
    </row>
    <row r="46" spans="2:9" x14ac:dyDescent="0.3">
      <c r="B46" s="11">
        <v>5465</v>
      </c>
      <c r="C46" s="2" t="s">
        <v>60</v>
      </c>
      <c r="D46" s="58">
        <f>575+7161.19+180+17555.22+4362.13</f>
        <v>29833.54</v>
      </c>
      <c r="E46" s="58">
        <v>9393</v>
      </c>
      <c r="F46" s="58">
        <v>7142.13</v>
      </c>
      <c r="G46" s="58">
        <v>3680</v>
      </c>
      <c r="H46" s="124">
        <v>10000</v>
      </c>
      <c r="I46" s="118">
        <f>SUM(I47:I51)</f>
        <v>14000</v>
      </c>
    </row>
    <row r="47" spans="2:9" x14ac:dyDescent="0.3">
      <c r="B47" s="11"/>
      <c r="C47" s="88" t="s">
        <v>201</v>
      </c>
      <c r="D47" s="188"/>
      <c r="E47" s="188"/>
      <c r="F47" s="188"/>
      <c r="G47" s="188"/>
      <c r="H47" s="189"/>
      <c r="I47" s="184">
        <v>7500</v>
      </c>
    </row>
    <row r="48" spans="2:9" x14ac:dyDescent="0.3">
      <c r="B48" s="11"/>
      <c r="C48" s="92" t="s">
        <v>190</v>
      </c>
      <c r="D48" s="58"/>
      <c r="E48" s="58"/>
      <c r="F48" s="58"/>
      <c r="G48" s="58"/>
      <c r="H48" s="124"/>
      <c r="I48" s="186">
        <v>2500</v>
      </c>
    </row>
    <row r="49" spans="2:9" x14ac:dyDescent="0.3">
      <c r="B49" s="11"/>
      <c r="C49" s="92" t="s">
        <v>203</v>
      </c>
      <c r="D49" s="58"/>
      <c r="E49" s="58"/>
      <c r="F49" s="58"/>
      <c r="G49" s="58"/>
      <c r="H49" s="124"/>
      <c r="I49" s="186">
        <v>2500</v>
      </c>
    </row>
    <row r="50" spans="2:9" x14ac:dyDescent="0.3">
      <c r="B50" s="11"/>
      <c r="C50" s="92" t="s">
        <v>202</v>
      </c>
      <c r="D50" s="58"/>
      <c r="E50" s="58"/>
      <c r="F50" s="58"/>
      <c r="G50" s="58"/>
      <c r="H50" s="124"/>
      <c r="I50" s="186">
        <v>1500</v>
      </c>
    </row>
    <row r="51" spans="2:9" x14ac:dyDescent="0.3">
      <c r="B51" s="11"/>
      <c r="C51" s="90" t="s">
        <v>87</v>
      </c>
      <c r="D51" s="94"/>
      <c r="E51" s="94"/>
      <c r="F51" s="94"/>
      <c r="G51" s="94"/>
      <c r="H51" s="190"/>
      <c r="I51" s="185">
        <v>0</v>
      </c>
    </row>
    <row r="52" spans="2:9" x14ac:dyDescent="0.3">
      <c r="B52" s="11">
        <v>5470</v>
      </c>
      <c r="C52" s="2" t="s">
        <v>61</v>
      </c>
      <c r="D52" s="58">
        <f>130.31+157+397.79+51.04</f>
        <v>736.14</v>
      </c>
      <c r="E52" s="58">
        <v>3342</v>
      </c>
      <c r="F52" s="58">
        <v>33630.839999999997</v>
      </c>
      <c r="G52" s="58">
        <v>31407</v>
      </c>
      <c r="H52" s="71">
        <v>26000</v>
      </c>
      <c r="I52" s="118">
        <v>36000</v>
      </c>
    </row>
    <row r="53" spans="2:9" x14ac:dyDescent="0.3">
      <c r="B53" s="11">
        <v>5480</v>
      </c>
      <c r="C53" s="2" t="s">
        <v>90</v>
      </c>
      <c r="D53" s="58">
        <f>3544.18</f>
        <v>3544.18</v>
      </c>
      <c r="E53" s="58">
        <v>3665</v>
      </c>
      <c r="F53" s="58">
        <v>3925.88</v>
      </c>
      <c r="G53" s="58">
        <v>6093</v>
      </c>
      <c r="H53" s="71">
        <v>3800</v>
      </c>
      <c r="I53" s="118">
        <v>4200</v>
      </c>
    </row>
    <row r="54" spans="2:9" x14ac:dyDescent="0.3">
      <c r="B54" s="11">
        <v>5484</v>
      </c>
      <c r="C54" s="2" t="s">
        <v>62</v>
      </c>
      <c r="D54" s="58">
        <f>6973.52</f>
        <v>6973.52</v>
      </c>
      <c r="E54" s="58">
        <v>7095</v>
      </c>
      <c r="F54" s="58">
        <v>7464.24</v>
      </c>
      <c r="G54" s="58">
        <v>7839</v>
      </c>
      <c r="H54" s="71">
        <v>7500</v>
      </c>
      <c r="I54" s="118">
        <v>8364</v>
      </c>
    </row>
    <row r="55" spans="2:9" x14ac:dyDescent="0.3">
      <c r="B55" s="11">
        <v>5488</v>
      </c>
      <c r="C55" s="2" t="s">
        <v>63</v>
      </c>
      <c r="D55" s="58">
        <f>122.46+1011.96+1183.15+939.34+76.62</f>
        <v>3333.53</v>
      </c>
      <c r="E55" s="58">
        <v>2467</v>
      </c>
      <c r="F55" s="58">
        <v>749.84</v>
      </c>
      <c r="G55" s="58">
        <v>500</v>
      </c>
      <c r="H55" s="71">
        <v>1000</v>
      </c>
      <c r="I55" s="118">
        <v>1000</v>
      </c>
    </row>
    <row r="56" spans="2:9" x14ac:dyDescent="0.3">
      <c r="B56" s="11">
        <v>5490</v>
      </c>
      <c r="C56" s="2" t="s">
        <v>91</v>
      </c>
      <c r="D56" s="58">
        <f>7216.74+1784.77+524.74</f>
        <v>9526.25</v>
      </c>
      <c r="E56" s="58">
        <v>292</v>
      </c>
      <c r="F56" s="58"/>
      <c r="G56" s="58"/>
      <c r="H56" s="71"/>
      <c r="I56" s="118">
        <v>0</v>
      </c>
    </row>
    <row r="57" spans="2:9" x14ac:dyDescent="0.3">
      <c r="B57" s="11"/>
      <c r="C57" s="2" t="s">
        <v>161</v>
      </c>
      <c r="D57" s="58"/>
      <c r="E57" s="58"/>
      <c r="F57" s="58"/>
      <c r="G57" s="58">
        <v>-7797</v>
      </c>
      <c r="H57" s="71"/>
      <c r="I57" s="118">
        <v>0</v>
      </c>
    </row>
    <row r="58" spans="2:9" x14ac:dyDescent="0.3">
      <c r="B58" s="42"/>
      <c r="C58" s="43" t="s">
        <v>123</v>
      </c>
      <c r="D58" s="94">
        <v>15157</v>
      </c>
      <c r="E58" s="94"/>
      <c r="F58" s="94">
        <v>2395</v>
      </c>
      <c r="G58" s="94"/>
      <c r="H58" s="147"/>
      <c r="I58" s="194">
        <v>0</v>
      </c>
    </row>
    <row r="59" spans="2:9" x14ac:dyDescent="0.3">
      <c r="B59" s="37" t="s">
        <v>15</v>
      </c>
      <c r="C59" s="38"/>
      <c r="D59" s="56">
        <f>SUM(D22:D58)</f>
        <v>216634.05</v>
      </c>
      <c r="E59" s="56">
        <f>SUM(E22:E58)</f>
        <v>160359</v>
      </c>
      <c r="F59" s="56">
        <f>SUM(F22:F58)</f>
        <v>165629.93999999997</v>
      </c>
      <c r="G59" s="56">
        <f>SUM(G22:G58)-G32-G43-G25</f>
        <v>139432</v>
      </c>
      <c r="H59" s="72">
        <f>SUM(H22:H58)-H32-H43-H25</f>
        <v>166848</v>
      </c>
      <c r="I59" s="120">
        <f>SUM(I22:I58)-I32-I43-I25-I46</f>
        <v>196499</v>
      </c>
    </row>
    <row r="61" spans="2:9" x14ac:dyDescent="0.3">
      <c r="B61" s="23" t="s">
        <v>38</v>
      </c>
      <c r="C61" s="24" t="str">
        <f>+B6</f>
        <v>AMENITIES</v>
      </c>
      <c r="D61" s="53">
        <f>+D17-D59</f>
        <v>-142017.03999999998</v>
      </c>
      <c r="E61" s="53">
        <f>+E17-E59</f>
        <v>-78034</v>
      </c>
      <c r="F61" s="53">
        <f>+F17-F59</f>
        <v>-123952.63699999996</v>
      </c>
      <c r="G61" s="53">
        <f>+G17-G59</f>
        <v>-100914</v>
      </c>
      <c r="H61" s="72">
        <f>H17-H59</f>
        <v>-115965</v>
      </c>
      <c r="I61" s="120">
        <f>+I17-I59</f>
        <v>-163849</v>
      </c>
    </row>
  </sheetData>
  <mergeCells count="5">
    <mergeCell ref="B2:I2"/>
    <mergeCell ref="B3:I3"/>
    <mergeCell ref="B4:I4"/>
    <mergeCell ref="B5:I5"/>
    <mergeCell ref="B18:I18"/>
  </mergeCells>
  <pageMargins left="0.7" right="0.7" top="0.75" bottom="0.75" header="0.3" footer="0.3"/>
  <pageSetup paperSize="9" scale="77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C2D7C-7F30-47FF-B9F2-73B67700FFD7}">
  <sheetPr>
    <pageSetUpPr fitToPage="1"/>
  </sheetPr>
  <dimension ref="B2:I34"/>
  <sheetViews>
    <sheetView topLeftCell="A7" workbookViewId="0">
      <selection activeCell="I21" sqref="I21:I28"/>
    </sheetView>
  </sheetViews>
  <sheetFormatPr defaultRowHeight="14.4" x14ac:dyDescent="0.3"/>
  <cols>
    <col min="1" max="1" width="1.5546875" customWidth="1"/>
    <col min="2" max="2" width="7.88671875" customWidth="1"/>
    <col min="3" max="3" width="24.6640625" customWidth="1"/>
    <col min="4" max="9" width="10.6640625" customWidth="1"/>
    <col min="10" max="10" width="3.88671875" customWidth="1"/>
  </cols>
  <sheetData>
    <row r="2" spans="2:9" ht="18" x14ac:dyDescent="0.35">
      <c r="B2" s="249" t="s">
        <v>1</v>
      </c>
      <c r="C2" s="265"/>
      <c r="D2" s="265"/>
      <c r="E2" s="265"/>
      <c r="F2" s="265"/>
      <c r="G2" s="265"/>
      <c r="H2" s="265"/>
      <c r="I2" s="266"/>
    </row>
    <row r="3" spans="2:9" ht="18" x14ac:dyDescent="0.35">
      <c r="B3" s="252" t="s">
        <v>191</v>
      </c>
      <c r="C3" s="253"/>
      <c r="D3" s="253"/>
      <c r="E3" s="253"/>
      <c r="F3" s="253"/>
      <c r="G3" s="253"/>
      <c r="H3" s="253"/>
      <c r="I3" s="254"/>
    </row>
    <row r="4" spans="2:9" ht="18" x14ac:dyDescent="0.35">
      <c r="B4" s="255" t="s">
        <v>213</v>
      </c>
      <c r="C4" s="256"/>
      <c r="D4" s="256"/>
      <c r="E4" s="256"/>
      <c r="F4" s="256"/>
      <c r="G4" s="256"/>
      <c r="H4" s="256"/>
      <c r="I4" s="257"/>
    </row>
    <row r="5" spans="2:9" ht="15.6" x14ac:dyDescent="0.3">
      <c r="B5" s="258" t="s">
        <v>2</v>
      </c>
      <c r="C5" s="259"/>
      <c r="D5" s="259"/>
      <c r="E5" s="259"/>
      <c r="F5" s="259"/>
      <c r="G5" s="259"/>
      <c r="H5" s="259"/>
      <c r="I5" s="260"/>
    </row>
    <row r="6" spans="2:9" x14ac:dyDescent="0.3">
      <c r="B6" s="26" t="s">
        <v>64</v>
      </c>
      <c r="C6" s="27"/>
      <c r="D6" s="16" t="s">
        <v>4</v>
      </c>
      <c r="E6" s="16" t="s">
        <v>5</v>
      </c>
      <c r="F6" s="16" t="s">
        <v>6</v>
      </c>
      <c r="G6" s="16" t="s">
        <v>7</v>
      </c>
      <c r="H6" s="68" t="s">
        <v>8</v>
      </c>
      <c r="I6" s="134" t="s">
        <v>214</v>
      </c>
    </row>
    <row r="7" spans="2:9" ht="28.8" x14ac:dyDescent="0.3">
      <c r="B7" s="4" t="s">
        <v>9</v>
      </c>
      <c r="C7" s="30" t="s">
        <v>10</v>
      </c>
      <c r="D7" s="85" t="s">
        <v>11</v>
      </c>
      <c r="E7" s="85" t="s">
        <v>11</v>
      </c>
      <c r="F7" s="85" t="s">
        <v>11</v>
      </c>
      <c r="G7" s="85" t="s">
        <v>11</v>
      </c>
      <c r="H7" s="177" t="s">
        <v>192</v>
      </c>
      <c r="I7" s="178" t="s">
        <v>215</v>
      </c>
    </row>
    <row r="8" spans="2:9" x14ac:dyDescent="0.3">
      <c r="B8" s="32"/>
      <c r="C8" s="5"/>
      <c r="D8" s="165" t="s">
        <v>13</v>
      </c>
      <c r="E8" s="165" t="s">
        <v>13</v>
      </c>
      <c r="F8" s="165" t="s">
        <v>13</v>
      </c>
      <c r="G8" s="165" t="s">
        <v>13</v>
      </c>
      <c r="H8" s="75" t="s">
        <v>13</v>
      </c>
      <c r="I8" s="166" t="s">
        <v>13</v>
      </c>
    </row>
    <row r="9" spans="2:9" x14ac:dyDescent="0.3">
      <c r="B9" s="32"/>
      <c r="C9" s="5"/>
      <c r="D9" s="7"/>
      <c r="E9" s="7"/>
      <c r="F9" s="7"/>
      <c r="G9" s="7"/>
      <c r="H9" s="70"/>
      <c r="I9" s="129"/>
    </row>
    <row r="10" spans="2:9" x14ac:dyDescent="0.3">
      <c r="B10" s="11">
        <v>4500</v>
      </c>
      <c r="C10" s="2" t="s">
        <v>81</v>
      </c>
      <c r="D10" s="57">
        <f>320+24870+3820</f>
        <v>29010</v>
      </c>
      <c r="E10" s="57">
        <v>25360</v>
      </c>
      <c r="F10" s="57">
        <v>26940</v>
      </c>
      <c r="G10" s="57">
        <v>24902</v>
      </c>
      <c r="H10" s="82">
        <v>27500</v>
      </c>
      <c r="I10" s="119">
        <v>27500</v>
      </c>
    </row>
    <row r="11" spans="2:9" x14ac:dyDescent="0.3">
      <c r="B11" s="11">
        <v>4510</v>
      </c>
      <c r="C11" s="2" t="s">
        <v>82</v>
      </c>
      <c r="D11" s="57">
        <f>9450+3990</f>
        <v>13440</v>
      </c>
      <c r="E11" s="57">
        <v>14591</v>
      </c>
      <c r="F11" s="57">
        <v>13715</v>
      </c>
      <c r="G11" s="57">
        <v>12757</v>
      </c>
      <c r="H11" s="82">
        <v>14300</v>
      </c>
      <c r="I11" s="119">
        <v>14300</v>
      </c>
    </row>
    <row r="12" spans="2:9" x14ac:dyDescent="0.3">
      <c r="B12" s="11">
        <v>4515</v>
      </c>
      <c r="C12" s="2" t="s">
        <v>164</v>
      </c>
      <c r="D12" s="57"/>
      <c r="E12" s="57"/>
      <c r="F12" s="57">
        <v>300</v>
      </c>
      <c r="G12" s="57">
        <v>200</v>
      </c>
      <c r="H12" s="82"/>
      <c r="I12" s="119"/>
    </row>
    <row r="13" spans="2:9" x14ac:dyDescent="0.3">
      <c r="B13" s="49">
        <v>4520</v>
      </c>
      <c r="C13" s="46" t="s">
        <v>83</v>
      </c>
      <c r="D13" s="57">
        <f>180+100+4090+1100+1300+37+37</f>
        <v>6844</v>
      </c>
      <c r="E13" s="57">
        <v>9543</v>
      </c>
      <c r="F13" s="57">
        <v>6425</v>
      </c>
      <c r="G13" s="57">
        <v>10425</v>
      </c>
      <c r="H13" s="82">
        <v>5285</v>
      </c>
      <c r="I13" s="119">
        <v>6000</v>
      </c>
    </row>
    <row r="14" spans="2:9" x14ac:dyDescent="0.3">
      <c r="B14" s="49">
        <v>4530</v>
      </c>
      <c r="C14" s="46" t="s">
        <v>84</v>
      </c>
      <c r="D14" s="57">
        <f>1105</f>
        <v>1105</v>
      </c>
      <c r="E14" s="57">
        <v>1120</v>
      </c>
      <c r="F14" s="57">
        <v>560</v>
      </c>
      <c r="G14" s="57">
        <v>1225</v>
      </c>
      <c r="H14" s="82">
        <v>1100</v>
      </c>
      <c r="I14" s="119">
        <v>1200</v>
      </c>
    </row>
    <row r="15" spans="2:9" x14ac:dyDescent="0.3">
      <c r="B15" s="42"/>
      <c r="C15" s="43"/>
      <c r="D15" s="59"/>
      <c r="E15" s="59"/>
      <c r="F15" s="59"/>
      <c r="G15" s="59"/>
      <c r="H15" s="83"/>
      <c r="I15" s="130"/>
    </row>
    <row r="16" spans="2:9" x14ac:dyDescent="0.3">
      <c r="B16" s="37" t="s">
        <v>15</v>
      </c>
      <c r="C16" s="38"/>
      <c r="D16" s="56">
        <f t="shared" ref="D16:I16" si="0">SUM(D10:D15)</f>
        <v>50399</v>
      </c>
      <c r="E16" s="56">
        <f t="shared" si="0"/>
        <v>50614</v>
      </c>
      <c r="F16" s="56">
        <f t="shared" si="0"/>
        <v>47940</v>
      </c>
      <c r="G16" s="56">
        <f>SUM(G10:G15)</f>
        <v>49509</v>
      </c>
      <c r="H16" s="72">
        <f t="shared" ref="H16" si="1">SUM(H10:H15)</f>
        <v>48185</v>
      </c>
      <c r="I16" s="120">
        <f t="shared" si="0"/>
        <v>49000</v>
      </c>
    </row>
    <row r="17" spans="2:9" ht="15.6" x14ac:dyDescent="0.3">
      <c r="B17" s="267" t="s">
        <v>16</v>
      </c>
      <c r="C17" s="268"/>
      <c r="D17" s="268"/>
      <c r="E17" s="268"/>
      <c r="F17" s="268"/>
      <c r="G17" s="268"/>
      <c r="H17" s="268"/>
      <c r="I17" s="269"/>
    </row>
    <row r="18" spans="2:9" x14ac:dyDescent="0.3">
      <c r="B18" s="1" t="str">
        <f>+B6</f>
        <v>CEMETERY</v>
      </c>
      <c r="C18" s="39"/>
      <c r="D18" s="29" t="str">
        <f t="shared" ref="D18:F18" si="2">+D6</f>
        <v>2018-19</v>
      </c>
      <c r="E18" s="29" t="str">
        <f t="shared" si="2"/>
        <v>2019-20</v>
      </c>
      <c r="F18" s="29" t="str">
        <f t="shared" si="2"/>
        <v>2020-21</v>
      </c>
      <c r="G18" s="29" t="s">
        <v>7</v>
      </c>
      <c r="H18" s="68" t="s">
        <v>8</v>
      </c>
      <c r="I18" s="134" t="s">
        <v>214</v>
      </c>
    </row>
    <row r="19" spans="2:9" ht="28.8" x14ac:dyDescent="0.3">
      <c r="B19" s="1" t="str">
        <f>+B7</f>
        <v>N/C</v>
      </c>
      <c r="C19" s="5" t="str">
        <f t="shared" ref="C19:F19" si="3">+C7</f>
        <v>NAME</v>
      </c>
      <c r="D19" s="31" t="str">
        <f t="shared" si="3"/>
        <v>ACTUAL</v>
      </c>
      <c r="E19" s="31" t="str">
        <f t="shared" si="3"/>
        <v>ACTUAL</v>
      </c>
      <c r="F19" s="31" t="str">
        <f t="shared" si="3"/>
        <v>ACTUAL</v>
      </c>
      <c r="G19" s="85" t="s">
        <v>11</v>
      </c>
      <c r="H19" s="177" t="s">
        <v>192</v>
      </c>
      <c r="I19" s="178" t="s">
        <v>215</v>
      </c>
    </row>
    <row r="20" spans="2:9" x14ac:dyDescent="0.3">
      <c r="B20" s="1"/>
      <c r="C20" s="5"/>
      <c r="D20" s="29" t="str">
        <f t="shared" ref="D20:I20" si="4">+D8</f>
        <v>£</v>
      </c>
      <c r="E20" s="29" t="str">
        <f t="shared" si="4"/>
        <v>£</v>
      </c>
      <c r="F20" s="29" t="str">
        <f t="shared" si="4"/>
        <v>£</v>
      </c>
      <c r="G20" s="29" t="s">
        <v>13</v>
      </c>
      <c r="H20" s="75" t="str">
        <f t="shared" ref="H20" si="5">+H8</f>
        <v>£</v>
      </c>
      <c r="I20" s="166" t="str">
        <f t="shared" si="4"/>
        <v>£</v>
      </c>
    </row>
    <row r="21" spans="2:9" x14ac:dyDescent="0.3">
      <c r="B21" s="11">
        <v>5500</v>
      </c>
      <c r="C21" s="2" t="s">
        <v>133</v>
      </c>
      <c r="D21" s="57">
        <f>1937.22+125.57</f>
        <v>2062.79</v>
      </c>
      <c r="E21" s="57">
        <v>3133</v>
      </c>
      <c r="F21" s="57">
        <v>1698.12</v>
      </c>
      <c r="G21" s="57">
        <v>20</v>
      </c>
      <c r="H21" s="82">
        <v>3500</v>
      </c>
      <c r="I21" s="119">
        <v>2800</v>
      </c>
    </row>
    <row r="22" spans="2:9" x14ac:dyDescent="0.3">
      <c r="B22" s="11">
        <v>5505</v>
      </c>
      <c r="C22" s="2" t="s">
        <v>65</v>
      </c>
      <c r="D22" s="57">
        <v>4470</v>
      </c>
      <c r="E22" s="57">
        <v>0</v>
      </c>
      <c r="F22" s="57">
        <v>0</v>
      </c>
      <c r="G22" s="57">
        <v>0</v>
      </c>
      <c r="H22" s="82"/>
      <c r="I22" s="119">
        <v>0</v>
      </c>
    </row>
    <row r="23" spans="2:9" x14ac:dyDescent="0.3">
      <c r="B23" s="11">
        <v>5510</v>
      </c>
      <c r="C23" s="2" t="s">
        <v>66</v>
      </c>
      <c r="D23" s="57">
        <f>2667.2+2352.17</f>
        <v>5019.37</v>
      </c>
      <c r="E23" s="57">
        <v>6389</v>
      </c>
      <c r="F23" s="57">
        <v>2495.84</v>
      </c>
      <c r="G23" s="57">
        <v>1314</v>
      </c>
      <c r="H23" s="82">
        <v>6000</v>
      </c>
      <c r="I23" s="119">
        <v>6000</v>
      </c>
    </row>
    <row r="24" spans="2:9" x14ac:dyDescent="0.3">
      <c r="B24" s="11">
        <v>5515</v>
      </c>
      <c r="C24" s="2" t="s">
        <v>165</v>
      </c>
      <c r="D24" s="57"/>
      <c r="E24" s="57"/>
      <c r="F24" s="57"/>
      <c r="G24" s="57">
        <v>147</v>
      </c>
      <c r="H24" s="82"/>
      <c r="I24" s="119">
        <v>0</v>
      </c>
    </row>
    <row r="25" spans="2:9" x14ac:dyDescent="0.3">
      <c r="B25" s="11">
        <v>5520</v>
      </c>
      <c r="C25" s="2" t="s">
        <v>67</v>
      </c>
      <c r="D25" s="57"/>
      <c r="E25" s="57">
        <v>2942</v>
      </c>
      <c r="F25" s="57">
        <v>7060</v>
      </c>
      <c r="G25" s="57">
        <v>5884</v>
      </c>
      <c r="H25" s="82">
        <v>6000</v>
      </c>
      <c r="I25" s="119">
        <f>1762.5*4</f>
        <v>7050</v>
      </c>
    </row>
    <row r="26" spans="2:9" x14ac:dyDescent="0.3">
      <c r="B26" s="11">
        <v>5530</v>
      </c>
      <c r="C26" s="2" t="s">
        <v>68</v>
      </c>
      <c r="D26" s="57">
        <v>21789.94</v>
      </c>
      <c r="E26" s="57">
        <v>14680</v>
      </c>
      <c r="F26" s="57"/>
      <c r="G26" s="57">
        <v>6721</v>
      </c>
      <c r="H26" s="82">
        <v>7250</v>
      </c>
      <c r="I26" s="119">
        <v>8893</v>
      </c>
    </row>
    <row r="27" spans="2:9" x14ac:dyDescent="0.3">
      <c r="B27" s="11">
        <v>5540</v>
      </c>
      <c r="C27" s="2" t="s">
        <v>89</v>
      </c>
      <c r="D27" s="57">
        <f>13241.94</f>
        <v>13241.94</v>
      </c>
      <c r="E27" s="57">
        <v>7025</v>
      </c>
      <c r="F27" s="57">
        <v>11230</v>
      </c>
      <c r="G27" s="57">
        <v>8580</v>
      </c>
      <c r="H27" s="82">
        <v>10450</v>
      </c>
      <c r="I27" s="119">
        <v>0</v>
      </c>
    </row>
    <row r="28" spans="2:9" x14ac:dyDescent="0.3">
      <c r="B28" s="11"/>
      <c r="C28" s="2" t="s">
        <v>93</v>
      </c>
      <c r="D28" s="57">
        <v>5884</v>
      </c>
      <c r="E28" s="57">
        <v>0</v>
      </c>
      <c r="F28" s="57"/>
      <c r="G28" s="57"/>
      <c r="H28" s="95">
        <v>0</v>
      </c>
      <c r="I28" s="119">
        <v>0</v>
      </c>
    </row>
    <row r="29" spans="2:9" x14ac:dyDescent="0.3">
      <c r="B29" s="11"/>
      <c r="C29" s="2"/>
      <c r="D29" s="10"/>
      <c r="E29" s="10"/>
      <c r="F29" s="10"/>
      <c r="G29" s="10"/>
      <c r="H29" s="74"/>
      <c r="I29" s="132"/>
    </row>
    <row r="30" spans="2:9" x14ac:dyDescent="0.3">
      <c r="B30" s="37" t="s">
        <v>15</v>
      </c>
      <c r="C30" s="38"/>
      <c r="D30" s="53">
        <f t="shared" ref="D30:I30" si="6">SUM(D21:D29)</f>
        <v>52468.04</v>
      </c>
      <c r="E30" s="53">
        <f t="shared" si="6"/>
        <v>34169</v>
      </c>
      <c r="F30" s="56">
        <f t="shared" si="6"/>
        <v>22483.96</v>
      </c>
      <c r="G30" s="56">
        <f>SUM(G21:G29)</f>
        <v>22666</v>
      </c>
      <c r="H30" s="72">
        <f t="shared" si="6"/>
        <v>33200</v>
      </c>
      <c r="I30" s="120">
        <f t="shared" si="6"/>
        <v>24743</v>
      </c>
    </row>
    <row r="32" spans="2:9" x14ac:dyDescent="0.3">
      <c r="B32" s="23" t="s">
        <v>38</v>
      </c>
      <c r="C32" s="24" t="str">
        <f>+B6</f>
        <v>CEMETERY</v>
      </c>
      <c r="D32" s="53">
        <f t="shared" ref="D32:I32" si="7">+D16-D30</f>
        <v>-2069.0400000000009</v>
      </c>
      <c r="E32" s="53">
        <f t="shared" si="7"/>
        <v>16445</v>
      </c>
      <c r="F32" s="56">
        <f t="shared" si="7"/>
        <v>25456.04</v>
      </c>
      <c r="G32" s="56">
        <f>G16-G30</f>
        <v>26843</v>
      </c>
      <c r="H32" s="72">
        <f t="shared" si="7"/>
        <v>14985</v>
      </c>
      <c r="I32" s="120">
        <f t="shared" si="7"/>
        <v>24257</v>
      </c>
    </row>
    <row r="34" spans="9:9" x14ac:dyDescent="0.3">
      <c r="I34" s="133"/>
    </row>
  </sheetData>
  <mergeCells count="5">
    <mergeCell ref="B2:I2"/>
    <mergeCell ref="B3:I3"/>
    <mergeCell ref="B4:I4"/>
    <mergeCell ref="B5:I5"/>
    <mergeCell ref="B17:I17"/>
  </mergeCell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6905-730D-438C-89D3-1D032EDB843E}">
  <sheetPr>
    <pageSetUpPr fitToPage="1"/>
  </sheetPr>
  <dimension ref="B2:I35"/>
  <sheetViews>
    <sheetView topLeftCell="A11" workbookViewId="0">
      <selection activeCell="B3" sqref="B3:I3"/>
    </sheetView>
  </sheetViews>
  <sheetFormatPr defaultRowHeight="14.4" x14ac:dyDescent="0.3"/>
  <cols>
    <col min="1" max="1" width="2.44140625" customWidth="1"/>
    <col min="2" max="2" width="7.5546875" customWidth="1"/>
    <col min="3" max="3" width="26.6640625" customWidth="1"/>
    <col min="4" max="9" width="10.6640625" customWidth="1"/>
    <col min="10" max="10" width="2.44140625" customWidth="1"/>
  </cols>
  <sheetData>
    <row r="2" spans="2:9" ht="18" x14ac:dyDescent="0.35">
      <c r="B2" s="249" t="s">
        <v>1</v>
      </c>
      <c r="C2" s="265"/>
      <c r="D2" s="265"/>
      <c r="E2" s="265"/>
      <c r="F2" s="265"/>
      <c r="G2" s="265"/>
      <c r="H2" s="265"/>
      <c r="I2" s="266"/>
    </row>
    <row r="3" spans="2:9" ht="18" x14ac:dyDescent="0.35">
      <c r="B3" s="252" t="s">
        <v>224</v>
      </c>
      <c r="C3" s="253"/>
      <c r="D3" s="253"/>
      <c r="E3" s="253"/>
      <c r="F3" s="253"/>
      <c r="G3" s="253"/>
      <c r="H3" s="253"/>
      <c r="I3" s="254"/>
    </row>
    <row r="4" spans="2:9" ht="18" x14ac:dyDescent="0.35">
      <c r="B4" s="255" t="s">
        <v>213</v>
      </c>
      <c r="C4" s="256"/>
      <c r="D4" s="256"/>
      <c r="E4" s="256"/>
      <c r="F4" s="256"/>
      <c r="G4" s="256"/>
      <c r="H4" s="256"/>
      <c r="I4" s="257"/>
    </row>
    <row r="5" spans="2:9" ht="15.6" x14ac:dyDescent="0.3">
      <c r="B5" s="258" t="s">
        <v>2</v>
      </c>
      <c r="C5" s="259"/>
      <c r="D5" s="259"/>
      <c r="E5" s="259"/>
      <c r="F5" s="259"/>
      <c r="G5" s="259"/>
      <c r="H5" s="259"/>
      <c r="I5" s="260"/>
    </row>
    <row r="6" spans="2:9" x14ac:dyDescent="0.3">
      <c r="B6" s="26" t="s">
        <v>69</v>
      </c>
      <c r="C6" s="27"/>
      <c r="D6" s="16" t="s">
        <v>4</v>
      </c>
      <c r="E6" s="16" t="s">
        <v>5</v>
      </c>
      <c r="F6" s="16" t="s">
        <v>6</v>
      </c>
      <c r="G6" s="16" t="s">
        <v>7</v>
      </c>
      <c r="H6" s="68" t="s">
        <v>8</v>
      </c>
      <c r="I6" s="134" t="s">
        <v>214</v>
      </c>
    </row>
    <row r="7" spans="2:9" ht="28.8" x14ac:dyDescent="0.3">
      <c r="B7" s="4" t="s">
        <v>9</v>
      </c>
      <c r="C7" s="30" t="s">
        <v>10</v>
      </c>
      <c r="D7" s="85" t="s">
        <v>11</v>
      </c>
      <c r="E7" s="85" t="s">
        <v>11</v>
      </c>
      <c r="F7" s="85" t="s">
        <v>11</v>
      </c>
      <c r="G7" s="85" t="s">
        <v>11</v>
      </c>
      <c r="H7" s="177" t="s">
        <v>192</v>
      </c>
      <c r="I7" s="178" t="s">
        <v>215</v>
      </c>
    </row>
    <row r="8" spans="2:9" x14ac:dyDescent="0.3">
      <c r="B8" s="32"/>
      <c r="C8" s="5"/>
      <c r="D8" s="7" t="s">
        <v>13</v>
      </c>
      <c r="E8" s="7" t="s">
        <v>13</v>
      </c>
      <c r="F8" s="7" t="s">
        <v>13</v>
      </c>
      <c r="G8" s="7" t="s">
        <v>13</v>
      </c>
      <c r="H8" s="70" t="s">
        <v>13</v>
      </c>
      <c r="I8" s="129" t="s">
        <v>13</v>
      </c>
    </row>
    <row r="9" spans="2:9" x14ac:dyDescent="0.3">
      <c r="B9" s="11">
        <v>4600</v>
      </c>
      <c r="C9" s="2" t="s">
        <v>70</v>
      </c>
      <c r="D9" s="60">
        <v>7407.75</v>
      </c>
      <c r="E9" s="60">
        <v>12201</v>
      </c>
      <c r="F9" s="60">
        <f>3092.33+5340.72</f>
        <v>8433.0499999999993</v>
      </c>
      <c r="G9" s="60">
        <f>3565+6044+1605</f>
        <v>11214</v>
      </c>
      <c r="H9" s="76">
        <v>8448</v>
      </c>
      <c r="I9" s="140">
        <v>11300</v>
      </c>
    </row>
    <row r="10" spans="2:9" x14ac:dyDescent="0.3">
      <c r="B10" s="11">
        <v>4605</v>
      </c>
      <c r="C10" s="2" t="s">
        <v>175</v>
      </c>
      <c r="D10" s="60"/>
      <c r="E10" s="60"/>
      <c r="F10" s="60"/>
      <c r="G10" s="60"/>
      <c r="H10" s="76">
        <v>300</v>
      </c>
      <c r="I10" s="140">
        <v>800</v>
      </c>
    </row>
    <row r="11" spans="2:9" x14ac:dyDescent="0.3">
      <c r="B11" s="11"/>
      <c r="C11" s="2"/>
      <c r="D11" s="60"/>
      <c r="E11" s="60"/>
      <c r="F11" s="60"/>
      <c r="G11" s="60"/>
      <c r="H11" s="74"/>
      <c r="I11" s="140"/>
    </row>
    <row r="12" spans="2:9" x14ac:dyDescent="0.3">
      <c r="B12" s="37" t="s">
        <v>15</v>
      </c>
      <c r="C12" s="38"/>
      <c r="D12" s="56">
        <f t="shared" ref="D12:I12" si="0">SUM(D9:D11)</f>
        <v>7407.75</v>
      </c>
      <c r="E12" s="56">
        <f t="shared" si="0"/>
        <v>12201</v>
      </c>
      <c r="F12" s="56">
        <f t="shared" si="0"/>
        <v>8433.0499999999993</v>
      </c>
      <c r="G12" s="56">
        <f>SUM(G9:G11)</f>
        <v>11214</v>
      </c>
      <c r="H12" s="72">
        <f t="shared" ref="H12" si="1">SUM(H9:H11)</f>
        <v>8748</v>
      </c>
      <c r="I12" s="120">
        <f t="shared" si="0"/>
        <v>12100</v>
      </c>
    </row>
    <row r="13" spans="2:9" ht="15.6" x14ac:dyDescent="0.3">
      <c r="B13" s="267" t="s">
        <v>16</v>
      </c>
      <c r="C13" s="268"/>
      <c r="D13" s="268"/>
      <c r="E13" s="268"/>
      <c r="F13" s="268"/>
      <c r="G13" s="268"/>
      <c r="H13" s="268"/>
      <c r="I13" s="269"/>
    </row>
    <row r="14" spans="2:9" x14ac:dyDescent="0.3">
      <c r="B14" s="1" t="str">
        <f>+B6</f>
        <v>ALLOTMENTS</v>
      </c>
      <c r="C14" s="39"/>
      <c r="D14" s="41" t="str">
        <f t="shared" ref="D14:F16" si="2">+D6</f>
        <v>2018-19</v>
      </c>
      <c r="E14" s="41" t="str">
        <f t="shared" si="2"/>
        <v>2019-20</v>
      </c>
      <c r="F14" s="41" t="str">
        <f t="shared" si="2"/>
        <v>2020-21</v>
      </c>
      <c r="G14" s="16" t="s">
        <v>7</v>
      </c>
      <c r="H14" s="68" t="s">
        <v>8</v>
      </c>
      <c r="I14" s="134" t="s">
        <v>214</v>
      </c>
    </row>
    <row r="15" spans="2:9" ht="28.8" x14ac:dyDescent="0.3">
      <c r="B15" s="1" t="str">
        <f>+B7</f>
        <v>N/C</v>
      </c>
      <c r="C15" s="5" t="str">
        <f>+C7</f>
        <v>NAME</v>
      </c>
      <c r="D15" s="167" t="str">
        <f t="shared" si="2"/>
        <v>ACTUAL</v>
      </c>
      <c r="E15" s="167" t="str">
        <f t="shared" si="2"/>
        <v>ACTUAL</v>
      </c>
      <c r="F15" s="167" t="str">
        <f t="shared" si="2"/>
        <v>ACTUAL</v>
      </c>
      <c r="G15" s="85" t="s">
        <v>11</v>
      </c>
      <c r="H15" s="177" t="s">
        <v>192</v>
      </c>
      <c r="I15" s="178" t="s">
        <v>215</v>
      </c>
    </row>
    <row r="16" spans="2:9" x14ac:dyDescent="0.3">
      <c r="B16" s="1"/>
      <c r="C16" s="5"/>
      <c r="D16" s="40" t="str">
        <f t="shared" si="2"/>
        <v>£</v>
      </c>
      <c r="E16" s="40" t="str">
        <f t="shared" si="2"/>
        <v>£</v>
      </c>
      <c r="F16" s="40" t="str">
        <f t="shared" si="2"/>
        <v>£</v>
      </c>
      <c r="G16" s="40" t="s">
        <v>13</v>
      </c>
      <c r="H16" s="75" t="str">
        <f t="shared" ref="H16:I16" si="3">+H8</f>
        <v>£</v>
      </c>
      <c r="I16" s="131" t="str">
        <f t="shared" si="3"/>
        <v>£</v>
      </c>
    </row>
    <row r="17" spans="2:9" x14ac:dyDescent="0.3">
      <c r="B17" s="11">
        <v>5600</v>
      </c>
      <c r="C17" s="2" t="s">
        <v>134</v>
      </c>
      <c r="D17" s="62">
        <f>13098.46+78.9+724.85</f>
        <v>13902.21</v>
      </c>
      <c r="E17" s="62">
        <v>6959</v>
      </c>
      <c r="F17" s="62">
        <f>7149.44+238.95+303.66</f>
        <v>7692.0499999999993</v>
      </c>
      <c r="G17" s="62">
        <f>1597+3170+112</f>
        <v>4879</v>
      </c>
      <c r="H17" s="110">
        <f>SUM(H18:H30)</f>
        <v>8448</v>
      </c>
      <c r="I17" s="150">
        <f>SUM(I18:I30)</f>
        <v>9460</v>
      </c>
    </row>
    <row r="18" spans="2:9" x14ac:dyDescent="0.3">
      <c r="B18" s="11"/>
      <c r="C18" s="96" t="s">
        <v>135</v>
      </c>
      <c r="D18" s="101"/>
      <c r="E18" s="101"/>
      <c r="F18" s="101"/>
      <c r="G18" s="101">
        <v>0</v>
      </c>
      <c r="H18" s="141">
        <v>0</v>
      </c>
      <c r="I18" s="144">
        <v>1000</v>
      </c>
    </row>
    <row r="19" spans="2:9" x14ac:dyDescent="0.3">
      <c r="B19" s="11"/>
      <c r="C19" s="98" t="s">
        <v>173</v>
      </c>
      <c r="D19" s="60"/>
      <c r="E19" s="60"/>
      <c r="F19" s="60"/>
      <c r="G19" s="60"/>
      <c r="H19" s="142">
        <v>100</v>
      </c>
      <c r="I19" s="145">
        <v>100</v>
      </c>
    </row>
    <row r="20" spans="2:9" x14ac:dyDescent="0.3">
      <c r="B20" s="11"/>
      <c r="C20" s="98" t="s">
        <v>136</v>
      </c>
      <c r="D20" s="60"/>
      <c r="E20" s="60"/>
      <c r="F20" s="60"/>
      <c r="G20" s="60"/>
      <c r="H20" s="142">
        <v>140</v>
      </c>
      <c r="I20" s="145">
        <v>350</v>
      </c>
    </row>
    <row r="21" spans="2:9" x14ac:dyDescent="0.3">
      <c r="B21" s="11"/>
      <c r="C21" s="98" t="s">
        <v>137</v>
      </c>
      <c r="D21" s="60"/>
      <c r="E21" s="60"/>
      <c r="F21" s="60"/>
      <c r="G21" s="60"/>
      <c r="H21" s="142">
        <v>1800</v>
      </c>
      <c r="I21" s="145">
        <v>2300</v>
      </c>
    </row>
    <row r="22" spans="2:9" x14ac:dyDescent="0.3">
      <c r="B22" s="11"/>
      <c r="C22" s="98" t="s">
        <v>138</v>
      </c>
      <c r="D22" s="60"/>
      <c r="E22" s="60"/>
      <c r="F22" s="60"/>
      <c r="G22" s="60"/>
      <c r="H22" s="142">
        <v>237</v>
      </c>
      <c r="I22" s="145">
        <v>275</v>
      </c>
    </row>
    <row r="23" spans="2:9" x14ac:dyDescent="0.3">
      <c r="B23" s="11"/>
      <c r="C23" s="98" t="s">
        <v>139</v>
      </c>
      <c r="D23" s="60"/>
      <c r="E23" s="60"/>
      <c r="F23" s="60"/>
      <c r="G23" s="60"/>
      <c r="H23" s="142">
        <v>225</v>
      </c>
      <c r="I23" s="145">
        <v>275</v>
      </c>
    </row>
    <row r="24" spans="2:9" x14ac:dyDescent="0.3">
      <c r="B24" s="11"/>
      <c r="C24" s="98" t="s">
        <v>174</v>
      </c>
      <c r="D24" s="60"/>
      <c r="E24" s="60"/>
      <c r="F24" s="60"/>
      <c r="G24" s="60"/>
      <c r="H24" s="142">
        <v>250</v>
      </c>
      <c r="I24" s="145">
        <v>0</v>
      </c>
    </row>
    <row r="25" spans="2:9" x14ac:dyDescent="0.3">
      <c r="B25" s="11"/>
      <c r="C25" s="98" t="s">
        <v>145</v>
      </c>
      <c r="D25" s="60"/>
      <c r="E25" s="60"/>
      <c r="F25" s="60"/>
      <c r="G25" s="60"/>
      <c r="H25" s="142">
        <v>1000</v>
      </c>
      <c r="I25" s="145">
        <v>500</v>
      </c>
    </row>
    <row r="26" spans="2:9" x14ac:dyDescent="0.3">
      <c r="B26" s="11"/>
      <c r="C26" s="98" t="s">
        <v>140</v>
      </c>
      <c r="D26" s="60"/>
      <c r="E26" s="60"/>
      <c r="F26" s="60"/>
      <c r="G26" s="60"/>
      <c r="H26" s="142">
        <v>1625</v>
      </c>
      <c r="I26" s="145">
        <v>2500</v>
      </c>
    </row>
    <row r="27" spans="2:9" x14ac:dyDescent="0.3">
      <c r="B27" s="11"/>
      <c r="C27" s="98" t="s">
        <v>159</v>
      </c>
      <c r="D27" s="60"/>
      <c r="E27" s="60"/>
      <c r="F27" s="60"/>
      <c r="G27" s="60"/>
      <c r="H27" s="142">
        <v>1000</v>
      </c>
      <c r="I27" s="145">
        <v>0</v>
      </c>
    </row>
    <row r="28" spans="2:9" x14ac:dyDescent="0.3">
      <c r="B28" s="11"/>
      <c r="C28" s="98" t="s">
        <v>142</v>
      </c>
      <c r="D28" s="60"/>
      <c r="E28" s="60"/>
      <c r="F28" s="60"/>
      <c r="G28" s="60"/>
      <c r="H28" s="142">
        <v>750</v>
      </c>
      <c r="I28" s="145">
        <v>750</v>
      </c>
    </row>
    <row r="29" spans="2:9" x14ac:dyDescent="0.3">
      <c r="B29" s="11"/>
      <c r="C29" s="98" t="s">
        <v>143</v>
      </c>
      <c r="D29" s="60"/>
      <c r="E29" s="60"/>
      <c r="F29" s="60"/>
      <c r="G29" s="60"/>
      <c r="H29" s="142">
        <v>1115</v>
      </c>
      <c r="I29" s="145">
        <v>1200</v>
      </c>
    </row>
    <row r="30" spans="2:9" x14ac:dyDescent="0.3">
      <c r="B30" s="11"/>
      <c r="C30" s="100" t="s">
        <v>144</v>
      </c>
      <c r="D30" s="62"/>
      <c r="E30" s="62"/>
      <c r="F30" s="62"/>
      <c r="G30" s="62"/>
      <c r="H30" s="143">
        <v>206</v>
      </c>
      <c r="I30" s="146">
        <v>210</v>
      </c>
    </row>
    <row r="31" spans="2:9" x14ac:dyDescent="0.3">
      <c r="B31" s="11"/>
      <c r="C31" s="2"/>
      <c r="D31" s="60"/>
      <c r="E31" s="60"/>
      <c r="F31" s="60"/>
      <c r="G31" s="60"/>
      <c r="H31" s="76"/>
      <c r="I31" s="140"/>
    </row>
    <row r="32" spans="2:9" x14ac:dyDescent="0.3">
      <c r="B32" s="37" t="s">
        <v>15</v>
      </c>
      <c r="C32" s="38"/>
      <c r="D32" s="56">
        <f>SUM(D17:D31)</f>
        <v>13902.21</v>
      </c>
      <c r="E32" s="56">
        <f>SUM(E17:E31)</f>
        <v>6959</v>
      </c>
      <c r="F32" s="56">
        <f>SUM(F17:F31)</f>
        <v>7692.0499999999993</v>
      </c>
      <c r="G32" s="56">
        <f>G17</f>
        <v>4879</v>
      </c>
      <c r="H32" s="72">
        <f>H17</f>
        <v>8448</v>
      </c>
      <c r="I32" s="120">
        <f>I17</f>
        <v>9460</v>
      </c>
    </row>
    <row r="34" spans="2:9" x14ac:dyDescent="0.3">
      <c r="B34" s="23" t="s">
        <v>38</v>
      </c>
      <c r="C34" s="24" t="str">
        <f>+B6</f>
        <v>ALLOTMENTS</v>
      </c>
      <c r="D34" s="53">
        <f t="shared" ref="D34:I34" si="4">+D12-D32</f>
        <v>-6494.4599999999991</v>
      </c>
      <c r="E34" s="53">
        <f t="shared" si="4"/>
        <v>5242</v>
      </c>
      <c r="F34" s="53">
        <f t="shared" si="4"/>
        <v>741</v>
      </c>
      <c r="G34" s="53">
        <f>G9-G32</f>
        <v>6335</v>
      </c>
      <c r="H34" s="72">
        <f t="shared" ref="H34" si="5">+H12-H32</f>
        <v>300</v>
      </c>
      <c r="I34" s="127">
        <f t="shared" si="4"/>
        <v>2640</v>
      </c>
    </row>
    <row r="35" spans="2:9" x14ac:dyDescent="0.3">
      <c r="B35" s="45"/>
    </row>
  </sheetData>
  <mergeCells count="5">
    <mergeCell ref="B2:I2"/>
    <mergeCell ref="B3:I3"/>
    <mergeCell ref="B4:I4"/>
    <mergeCell ref="B5:I5"/>
    <mergeCell ref="B13:I13"/>
  </mergeCells>
  <pageMargins left="0.7" right="0.7" top="0.75" bottom="0.7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75AD-90CF-4400-8A80-4B5A4731862E}">
  <sheetPr>
    <pageSetUpPr fitToPage="1"/>
  </sheetPr>
  <dimension ref="B2:I32"/>
  <sheetViews>
    <sheetView topLeftCell="A6" workbookViewId="0">
      <selection activeCell="B3" sqref="B3:I3"/>
    </sheetView>
  </sheetViews>
  <sheetFormatPr defaultRowHeight="14.4" x14ac:dyDescent="0.3"/>
  <cols>
    <col min="1" max="1" width="2.44140625" customWidth="1"/>
    <col min="2" max="2" width="7.5546875" customWidth="1"/>
    <col min="3" max="3" width="25.5546875" customWidth="1"/>
    <col min="4" max="9" width="10.6640625" customWidth="1"/>
    <col min="10" max="10" width="3" customWidth="1"/>
  </cols>
  <sheetData>
    <row r="2" spans="2:9" ht="18" x14ac:dyDescent="0.35">
      <c r="B2" s="249" t="s">
        <v>1</v>
      </c>
      <c r="C2" s="265"/>
      <c r="D2" s="265"/>
      <c r="E2" s="265"/>
      <c r="F2" s="265"/>
      <c r="G2" s="265"/>
      <c r="H2" s="265"/>
      <c r="I2" s="266"/>
    </row>
    <row r="3" spans="2:9" ht="18" x14ac:dyDescent="0.35">
      <c r="B3" s="252" t="s">
        <v>224</v>
      </c>
      <c r="C3" s="253"/>
      <c r="D3" s="253"/>
      <c r="E3" s="253"/>
      <c r="F3" s="253"/>
      <c r="G3" s="253"/>
      <c r="H3" s="253"/>
      <c r="I3" s="254"/>
    </row>
    <row r="4" spans="2:9" ht="18" x14ac:dyDescent="0.35">
      <c r="B4" s="255" t="s">
        <v>213</v>
      </c>
      <c r="C4" s="256"/>
      <c r="D4" s="256"/>
      <c r="E4" s="256"/>
      <c r="F4" s="256"/>
      <c r="G4" s="256"/>
      <c r="H4" s="256"/>
      <c r="I4" s="257"/>
    </row>
    <row r="5" spans="2:9" ht="15.6" x14ac:dyDescent="0.3">
      <c r="B5" s="258" t="s">
        <v>2</v>
      </c>
      <c r="C5" s="259"/>
      <c r="D5" s="259"/>
      <c r="E5" s="259"/>
      <c r="F5" s="259"/>
      <c r="G5" s="259"/>
      <c r="H5" s="259"/>
      <c r="I5" s="260"/>
    </row>
    <row r="6" spans="2:9" x14ac:dyDescent="0.3">
      <c r="B6" s="270" t="s">
        <v>111</v>
      </c>
      <c r="C6" s="271"/>
      <c r="D6" s="16" t="s">
        <v>4</v>
      </c>
      <c r="E6" s="16" t="s">
        <v>5</v>
      </c>
      <c r="F6" s="16" t="s">
        <v>6</v>
      </c>
      <c r="G6" s="16" t="s">
        <v>7</v>
      </c>
      <c r="H6" s="68" t="s">
        <v>8</v>
      </c>
      <c r="I6" s="134" t="s">
        <v>214</v>
      </c>
    </row>
    <row r="7" spans="2:9" ht="28.8" x14ac:dyDescent="0.3">
      <c r="B7" s="4" t="s">
        <v>9</v>
      </c>
      <c r="C7" s="30" t="s">
        <v>10</v>
      </c>
      <c r="D7" s="85" t="s">
        <v>11</v>
      </c>
      <c r="E7" s="85" t="s">
        <v>11</v>
      </c>
      <c r="F7" s="85" t="s">
        <v>11</v>
      </c>
      <c r="G7" s="85" t="s">
        <v>11</v>
      </c>
      <c r="H7" s="177" t="s">
        <v>192</v>
      </c>
      <c r="I7" s="178" t="s">
        <v>215</v>
      </c>
    </row>
    <row r="8" spans="2:9" x14ac:dyDescent="0.3">
      <c r="B8" s="32"/>
      <c r="C8" s="5"/>
      <c r="D8" s="29" t="s">
        <v>13</v>
      </c>
      <c r="E8" s="29" t="s">
        <v>13</v>
      </c>
      <c r="F8" s="29" t="s">
        <v>13</v>
      </c>
      <c r="G8" s="7" t="s">
        <v>13</v>
      </c>
      <c r="H8" s="70" t="s">
        <v>13</v>
      </c>
      <c r="I8" s="129" t="s">
        <v>13</v>
      </c>
    </row>
    <row r="9" spans="2:9" x14ac:dyDescent="0.3">
      <c r="B9" s="11">
        <v>4900</v>
      </c>
      <c r="C9" s="2" t="s">
        <v>71</v>
      </c>
      <c r="D9" s="64">
        <v>759192</v>
      </c>
      <c r="E9" s="64">
        <v>767015</v>
      </c>
      <c r="F9" s="64">
        <v>810124</v>
      </c>
      <c r="G9" s="64">
        <v>808866</v>
      </c>
      <c r="H9" s="84">
        <f>Summary!H15</f>
        <v>833239</v>
      </c>
      <c r="I9" s="140">
        <f>Summary!I15</f>
        <v>1024065</v>
      </c>
    </row>
    <row r="10" spans="2:9" x14ac:dyDescent="0.3">
      <c r="B10" s="11"/>
      <c r="C10" s="2"/>
      <c r="D10" s="56">
        <f t="shared" ref="D10:G10" si="0">D9</f>
        <v>759192</v>
      </c>
      <c r="E10" s="56">
        <f t="shared" si="0"/>
        <v>767015</v>
      </c>
      <c r="F10" s="56">
        <f t="shared" si="0"/>
        <v>810124</v>
      </c>
      <c r="G10" s="56">
        <f t="shared" si="0"/>
        <v>808866</v>
      </c>
      <c r="H10" s="72">
        <f>H9</f>
        <v>833239</v>
      </c>
      <c r="I10" s="120">
        <f>I9</f>
        <v>1024065</v>
      </c>
    </row>
    <row r="11" spans="2:9" x14ac:dyDescent="0.3">
      <c r="B11" s="61" t="s">
        <v>76</v>
      </c>
      <c r="C11" s="2"/>
      <c r="D11" s="21"/>
      <c r="E11" s="21"/>
      <c r="F11" s="21"/>
      <c r="G11" s="21"/>
      <c r="H11" s="74"/>
      <c r="I11" s="128"/>
    </row>
    <row r="12" spans="2:9" x14ac:dyDescent="0.3">
      <c r="B12" s="11"/>
      <c r="C12" s="2" t="s">
        <v>95</v>
      </c>
      <c r="D12" s="60">
        <v>21241</v>
      </c>
      <c r="E12" s="21"/>
      <c r="F12" s="21"/>
      <c r="G12" s="21"/>
      <c r="H12" s="74"/>
      <c r="I12" s="128"/>
    </row>
    <row r="13" spans="2:9" x14ac:dyDescent="0.3">
      <c r="B13" s="11">
        <v>4910</v>
      </c>
      <c r="C13" s="2" t="s">
        <v>72</v>
      </c>
      <c r="D13" s="60">
        <f>6179.16</f>
        <v>6179.16</v>
      </c>
      <c r="E13" s="60">
        <v>31942</v>
      </c>
      <c r="F13" s="60">
        <v>6540.99</v>
      </c>
      <c r="G13" s="60">
        <v>904</v>
      </c>
      <c r="H13" s="76">
        <v>500</v>
      </c>
      <c r="I13" s="140">
        <v>500</v>
      </c>
    </row>
    <row r="14" spans="2:9" x14ac:dyDescent="0.3">
      <c r="B14" s="11">
        <v>4920</v>
      </c>
      <c r="C14" s="2" t="s">
        <v>73</v>
      </c>
      <c r="D14" s="60">
        <f>15.38+1016.69</f>
        <v>1032.0700000000002</v>
      </c>
      <c r="E14" s="60">
        <v>996</v>
      </c>
      <c r="F14" s="60">
        <v>277.91000000000003</v>
      </c>
      <c r="G14" s="60">
        <v>44</v>
      </c>
      <c r="H14" s="76">
        <v>100</v>
      </c>
      <c r="I14" s="140">
        <v>45</v>
      </c>
    </row>
    <row r="15" spans="2:9" x14ac:dyDescent="0.3">
      <c r="B15" s="11">
        <v>4930</v>
      </c>
      <c r="C15" s="2" t="s">
        <v>74</v>
      </c>
      <c r="D15" s="60">
        <v>37636.99</v>
      </c>
      <c r="E15" s="60">
        <v>37119</v>
      </c>
      <c r="F15" s="60">
        <v>28240.02</v>
      </c>
      <c r="G15" s="60">
        <v>35607</v>
      </c>
      <c r="H15" s="76">
        <v>35000</v>
      </c>
      <c r="I15" s="140">
        <v>35000</v>
      </c>
    </row>
    <row r="16" spans="2:9" x14ac:dyDescent="0.3">
      <c r="B16" s="11"/>
      <c r="C16" s="2" t="s">
        <v>182</v>
      </c>
      <c r="D16" s="60"/>
      <c r="E16" s="60"/>
      <c r="F16" s="60"/>
      <c r="G16" s="60"/>
      <c r="H16" s="76"/>
      <c r="I16" s="140">
        <v>0</v>
      </c>
    </row>
    <row r="17" spans="2:9" x14ac:dyDescent="0.3">
      <c r="B17" s="11">
        <v>4950</v>
      </c>
      <c r="C17" s="2" t="s">
        <v>160</v>
      </c>
      <c r="D17" s="60">
        <v>1666.67</v>
      </c>
      <c r="E17" s="60"/>
      <c r="F17" s="60">
        <v>0</v>
      </c>
      <c r="G17" s="60">
        <v>0</v>
      </c>
      <c r="H17" s="76"/>
      <c r="I17" s="140">
        <v>0</v>
      </c>
    </row>
    <row r="18" spans="2:9" x14ac:dyDescent="0.3">
      <c r="B18" s="11"/>
      <c r="C18" s="2" t="s">
        <v>108</v>
      </c>
      <c r="D18" s="60">
        <v>182034.33</v>
      </c>
      <c r="E18" s="21"/>
      <c r="F18" s="60">
        <v>0</v>
      </c>
      <c r="G18" s="60">
        <v>14591</v>
      </c>
      <c r="H18" s="76"/>
      <c r="I18" s="140">
        <v>0</v>
      </c>
    </row>
    <row r="19" spans="2:9" x14ac:dyDescent="0.3">
      <c r="B19" s="11"/>
      <c r="C19" s="2" t="s">
        <v>161</v>
      </c>
      <c r="D19" s="21"/>
      <c r="E19" s="21"/>
      <c r="F19" s="60">
        <v>39830</v>
      </c>
      <c r="G19" s="60"/>
      <c r="H19" s="76">
        <v>0</v>
      </c>
      <c r="I19" s="140">
        <v>0</v>
      </c>
    </row>
    <row r="20" spans="2:9" x14ac:dyDescent="0.3">
      <c r="B20" s="11"/>
      <c r="C20" s="2" t="s">
        <v>188</v>
      </c>
      <c r="D20" s="21"/>
      <c r="E20" s="21"/>
      <c r="F20" s="60"/>
      <c r="G20" s="60"/>
      <c r="H20" s="76"/>
      <c r="I20" s="140">
        <v>0</v>
      </c>
    </row>
    <row r="21" spans="2:9" x14ac:dyDescent="0.3">
      <c r="B21" s="35"/>
      <c r="C21" s="36"/>
      <c r="D21" s="21"/>
      <c r="E21" s="21"/>
      <c r="F21" s="21"/>
      <c r="G21" s="21"/>
      <c r="H21" s="77"/>
      <c r="I21" s="148"/>
    </row>
    <row r="22" spans="2:9" x14ac:dyDescent="0.3">
      <c r="B22" s="37" t="s">
        <v>116</v>
      </c>
      <c r="C22" s="38"/>
      <c r="D22" s="56">
        <f>SUM(D12:D21)</f>
        <v>249790.21999999997</v>
      </c>
      <c r="E22" s="56">
        <f>SUM(E12:E21)</f>
        <v>70057</v>
      </c>
      <c r="F22" s="56">
        <f>SUM(F12:F21)</f>
        <v>74888.92</v>
      </c>
      <c r="G22" s="56">
        <f>SUM(G12:G21)</f>
        <v>51146</v>
      </c>
      <c r="H22" s="72">
        <f>SUM(H13:H21)</f>
        <v>35600</v>
      </c>
      <c r="I22" s="120">
        <f>SUM(I13:I21)</f>
        <v>35545</v>
      </c>
    </row>
    <row r="23" spans="2:9" ht="15.6" x14ac:dyDescent="0.3">
      <c r="B23" s="267" t="s">
        <v>16</v>
      </c>
      <c r="C23" s="268"/>
      <c r="D23" s="268"/>
      <c r="E23" s="268"/>
      <c r="F23" s="268"/>
      <c r="G23" s="268"/>
      <c r="H23" s="268"/>
      <c r="I23" s="269"/>
    </row>
    <row r="24" spans="2:9" x14ac:dyDescent="0.3">
      <c r="B24" s="26" t="str">
        <f>B11</f>
        <v>OTHER</v>
      </c>
      <c r="C24" s="103"/>
      <c r="D24" s="16" t="s">
        <v>4</v>
      </c>
      <c r="E24" s="16" t="s">
        <v>5</v>
      </c>
      <c r="F24" s="16" t="s">
        <v>6</v>
      </c>
      <c r="G24" s="16" t="s">
        <v>7</v>
      </c>
      <c r="H24" s="68" t="s">
        <v>8</v>
      </c>
      <c r="I24" s="134" t="s">
        <v>214</v>
      </c>
    </row>
    <row r="25" spans="2:9" ht="28.8" x14ac:dyDescent="0.3">
      <c r="B25" s="1" t="str">
        <f>+B7</f>
        <v>N/C</v>
      </c>
      <c r="C25" s="104" t="str">
        <f t="shared" ref="C25" si="1">+C7</f>
        <v>NAME</v>
      </c>
      <c r="D25" s="85" t="s">
        <v>11</v>
      </c>
      <c r="E25" s="85" t="s">
        <v>11</v>
      </c>
      <c r="F25" s="85" t="s">
        <v>11</v>
      </c>
      <c r="G25" s="85" t="s">
        <v>11</v>
      </c>
      <c r="H25" s="177" t="s">
        <v>192</v>
      </c>
      <c r="I25" s="178" t="s">
        <v>215</v>
      </c>
    </row>
    <row r="26" spans="2:9" x14ac:dyDescent="0.3">
      <c r="B26" s="11"/>
      <c r="C26" s="105"/>
      <c r="D26" s="29" t="s">
        <v>13</v>
      </c>
      <c r="E26" s="29" t="s">
        <v>13</v>
      </c>
      <c r="F26" s="29" t="s">
        <v>13</v>
      </c>
      <c r="G26" s="29" t="s">
        <v>13</v>
      </c>
      <c r="H26" s="70" t="s">
        <v>13</v>
      </c>
      <c r="I26" s="129" t="s">
        <v>13</v>
      </c>
    </row>
    <row r="27" spans="2:9" x14ac:dyDescent="0.3">
      <c r="B27" s="11"/>
      <c r="C27" s="105" t="s">
        <v>75</v>
      </c>
      <c r="D27" s="60">
        <v>128389.19</v>
      </c>
      <c r="E27" s="21"/>
      <c r="F27" s="60">
        <v>26142.27</v>
      </c>
      <c r="G27" s="60">
        <v>0</v>
      </c>
      <c r="H27" s="76">
        <v>0</v>
      </c>
      <c r="I27" s="140">
        <v>0</v>
      </c>
    </row>
    <row r="28" spans="2:9" x14ac:dyDescent="0.3">
      <c r="B28" s="11"/>
      <c r="C28" s="105" t="s">
        <v>109</v>
      </c>
      <c r="D28" s="60">
        <v>0</v>
      </c>
      <c r="E28" s="60">
        <v>0</v>
      </c>
      <c r="F28" s="60">
        <v>0</v>
      </c>
      <c r="G28" s="60">
        <v>0</v>
      </c>
      <c r="H28" s="76">
        <v>0</v>
      </c>
      <c r="I28" s="140">
        <v>0</v>
      </c>
    </row>
    <row r="29" spans="2:9" x14ac:dyDescent="0.3">
      <c r="B29" s="11"/>
      <c r="C29" s="105" t="s">
        <v>179</v>
      </c>
      <c r="D29" s="60">
        <v>4850.25</v>
      </c>
      <c r="E29" s="60">
        <v>4164.95</v>
      </c>
      <c r="F29" s="60">
        <v>110</v>
      </c>
      <c r="G29" s="60">
        <v>426</v>
      </c>
      <c r="H29" s="76">
        <f>10003-2850-5000+1000</f>
        <v>3153</v>
      </c>
      <c r="I29" s="140">
        <v>2500</v>
      </c>
    </row>
    <row r="30" spans="2:9" x14ac:dyDescent="0.3">
      <c r="B30" s="37" t="s">
        <v>116</v>
      </c>
      <c r="C30" s="38"/>
      <c r="D30" s="53">
        <f t="shared" ref="D30:G30" si="2">SUM(D26:D29)</f>
        <v>133239.44</v>
      </c>
      <c r="E30" s="56">
        <f t="shared" si="2"/>
        <v>4164.95</v>
      </c>
      <c r="F30" s="56">
        <f t="shared" si="2"/>
        <v>26252.27</v>
      </c>
      <c r="G30" s="56">
        <f t="shared" si="2"/>
        <v>426</v>
      </c>
      <c r="H30" s="72">
        <f>SUM(H26:H29)</f>
        <v>3153</v>
      </c>
      <c r="I30" s="120">
        <f>SUM(I26:I29)</f>
        <v>2500</v>
      </c>
    </row>
    <row r="32" spans="2:9" x14ac:dyDescent="0.3">
      <c r="B32" s="23" t="s">
        <v>147</v>
      </c>
      <c r="C32" s="24"/>
      <c r="D32" s="53">
        <f t="shared" ref="D32:G32" si="3">+D22-D30</f>
        <v>116550.77999999997</v>
      </c>
      <c r="E32" s="56">
        <f t="shared" si="3"/>
        <v>65892.05</v>
      </c>
      <c r="F32" s="56">
        <f t="shared" si="3"/>
        <v>48636.649999999994</v>
      </c>
      <c r="G32" s="56">
        <f t="shared" si="3"/>
        <v>50720</v>
      </c>
      <c r="H32" s="72">
        <f>H22-H30</f>
        <v>32447</v>
      </c>
      <c r="I32" s="120">
        <f>I22-I30</f>
        <v>33045</v>
      </c>
    </row>
  </sheetData>
  <mergeCells count="6">
    <mergeCell ref="B2:I2"/>
    <mergeCell ref="B3:I3"/>
    <mergeCell ref="B4:I4"/>
    <mergeCell ref="B5:I5"/>
    <mergeCell ref="B23:I23"/>
    <mergeCell ref="B6:C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Cover Page</vt:lpstr>
      <vt:lpstr>Summary</vt:lpstr>
      <vt:lpstr>Personnel</vt:lpstr>
      <vt:lpstr>V&amp;C</vt:lpstr>
      <vt:lpstr>Heritage Town Events</vt:lpstr>
      <vt:lpstr>Amenities</vt:lpstr>
      <vt:lpstr>Cemetery</vt:lpstr>
      <vt:lpstr>Allotments</vt:lpstr>
      <vt:lpstr>Rates Precept and Other</vt:lpstr>
      <vt:lpstr>Contributions to Reserves</vt:lpstr>
      <vt:lpstr>Reserve Summary</vt:lpstr>
      <vt:lpstr>Allotments!Print_Area</vt:lpstr>
      <vt:lpstr>Amenities!Print_Area</vt:lpstr>
      <vt:lpstr>Cemetery!Print_Area</vt:lpstr>
      <vt:lpstr>'Contributions to Reserves'!Print_Area</vt:lpstr>
      <vt:lpstr>'Cover Page'!Print_Area</vt:lpstr>
      <vt:lpstr>'Heritage Town Events'!Print_Area</vt:lpstr>
      <vt:lpstr>Personnel!Print_Area</vt:lpstr>
      <vt:lpstr>'Rates Precept and Other'!Print_Area</vt:lpstr>
      <vt:lpstr>Summary!Print_Area</vt:lpstr>
      <vt:lpstr>'V&amp;C'!Print_Area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Yorke</dc:creator>
  <cp:lastModifiedBy>Alan Yorke</cp:lastModifiedBy>
  <cp:lastPrinted>2023-09-11T10:49:21Z</cp:lastPrinted>
  <dcterms:created xsi:type="dcterms:W3CDTF">2019-09-23T10:46:43Z</dcterms:created>
  <dcterms:modified xsi:type="dcterms:W3CDTF">2024-06-19T11:49:59Z</dcterms:modified>
</cp:coreProperties>
</file>